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comments4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ЭтаКнига"/>
  <bookViews>
    <workbookView xWindow="0" yWindow="0" windowWidth="17400" windowHeight="7245" tabRatio="931" firstSheet="10" activeTab="17"/>
  </bookViews>
  <sheets>
    <sheet name="РГК_кошторис (2)" sheetId="110" r:id="rId1"/>
    <sheet name="Молодняки_кошторис" sheetId="109" r:id="rId2"/>
    <sheet name="РД_кошторис" sheetId="108" r:id="rId3"/>
    <sheet name="РГК_кошторис" sheetId="107" r:id="rId4"/>
    <sheet name="Техкарта" sheetId="104" r:id="rId5"/>
    <sheet name="План заготівлі інши" sheetId="97" r:id="rId6"/>
    <sheet name="Таблица Щоденник" sheetId="96" r:id="rId7"/>
    <sheet name="Расчет" sheetId="106" r:id="rId8"/>
    <sheet name="План заготівлі РГК" sheetId="80" r:id="rId9"/>
    <sheet name="ЛистМеню" sheetId="76" r:id="rId10"/>
    <sheet name="Месяца" sheetId="44" r:id="rId11"/>
    <sheet name="Реестр_Договора" sheetId="39" r:id="rId12"/>
    <sheet name="ДЛГ" sheetId="45" r:id="rId13"/>
    <sheet name="Шаблон" sheetId="78" r:id="rId14"/>
    <sheet name="Рубки" sheetId="77" r:id="rId15"/>
    <sheet name="Приймання" sheetId="40" r:id="rId16"/>
    <sheet name="Лісництва" sheetId="41" r:id="rId17"/>
    <sheet name="Печать" sheetId="87" r:id="rId18"/>
    <sheet name="Таблица Форма" sheetId="86" r:id="rId19"/>
    <sheet name="Справочники" sheetId="92" r:id="rId20"/>
    <sheet name="Привязки" sheetId="84" r:id="rId21"/>
    <sheet name="Техкарты" sheetId="101" r:id="rId22"/>
    <sheet name="Виконавец" sheetId="43" r:id="rId23"/>
    <sheet name="Форма" sheetId="4" r:id="rId24"/>
    <sheet name="ВиконавецФорма" sheetId="99" r:id="rId25"/>
    <sheet name="Таблица Кошторис" sheetId="79" r:id="rId26"/>
    <sheet name="Таблица Кошторис хл" sheetId="94" r:id="rId27"/>
    <sheet name="Протокол" sheetId="82" r:id="rId28"/>
    <sheet name="Мастера" sheetId="42" r:id="rId29"/>
    <sheet name="ПадежиМайстер" sheetId="75" r:id="rId30"/>
    <sheet name="Импорт" sheetId="5" r:id="rId31"/>
  </sheets>
  <functionGroups builtInGroupCount="17"/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definedNames>
    <definedName name="_St49">[1]!vyRange:myRange</definedName>
    <definedName name="_xlnm._FilterDatabase" localSheetId="15" hidden="1">Приймання!$A$8:$O$106</definedName>
    <definedName name="_xlnm._FilterDatabase" localSheetId="6" hidden="1">'Таблица Щоденник'!$A$1:$K$1</definedName>
    <definedName name="_xlnm._FilterDatabase" localSheetId="21" hidden="1">Техкарты!$A$1:$BA$657</definedName>
    <definedName name="assortment">OFFSET([2]Сортимент!$C$2,0,0,COUNTA([2]Сортимент!$C$2:$C$65512),1)</definedName>
    <definedName name="cCenaDog">[2]Константы!$B$23</definedName>
    <definedName name="cCenaDogHL">[2]Константы!$B$25</definedName>
    <definedName name="cCenaDogHLPDV">[2]Константы!$B$26</definedName>
    <definedName name="cCenaDogPDV">[2]Константы!$B$24</definedName>
    <definedName name="cCenaHlPDVProp">[2]Константы!$B$30</definedName>
    <definedName name="cCenaHLProp">[2]Константы!$B$29</definedName>
    <definedName name="cCenaPDVProp">[2]Константы!$B$28</definedName>
    <definedName name="cCenaProp">[2]Константы!$B$27</definedName>
    <definedName name="cDataDog">[2]Константы!$B$62</definedName>
    <definedName name="cDataS">[2]Константы!$B$35</definedName>
    <definedName name="cKV">[2]Константы!$B$19</definedName>
    <definedName name="cLicVa">[2]Константы!$B$17</definedName>
    <definedName name="cLikvid">[2]Константы!$B$86</definedName>
    <definedName name="cMas">[2]Константы!$B$68</definedName>
    <definedName name="cNTK">[2]Константы!$B$63</definedName>
    <definedName name="cSumaDog">[2]Константы!$B$31</definedName>
    <definedName name="cVidShablona">[2]Константы!$B$93</definedName>
    <definedName name="cVud">[2]Константы!$B$20</definedName>
    <definedName name="cVukon">[2]Константы!$B$49</definedName>
    <definedName name="cVukPDV" localSheetId="1">[3]Константы!$B$97</definedName>
    <definedName name="cVukPDV" localSheetId="3">[3]Константы!$B$97</definedName>
    <definedName name="cVukPDV" localSheetId="0">[3]Константы!$B$97</definedName>
    <definedName name="cVukPDV" localSheetId="2">[3]Константы!$B$97</definedName>
    <definedName name="cVukPDV">[2]Константы!$B$97</definedName>
    <definedName name="cВСЬОГО">[2]Константы!$B$84</definedName>
    <definedName name="cПДВ">[2]Константы!$B$82</definedName>
    <definedName name="cСумма">[2]Константы!$B$80</definedName>
    <definedName name="d">"d"</definedName>
    <definedName name="dCKR">[4]РД!$H$1</definedName>
    <definedName name="dCrHl" localSheetId="7">[5]РД!$I$7</definedName>
    <definedName name="dCrHl" localSheetId="0">[15]РД!$I$7</definedName>
    <definedName name="dCrHl">[4]РД!$I$7</definedName>
    <definedName name="dCZ" localSheetId="7">[5]РД!$I$8</definedName>
    <definedName name="dCZ" localSheetId="0">[15]РД!$I$8</definedName>
    <definedName name="dCZ">[4]РД!$I$8</definedName>
    <definedName name="dDataDog" localSheetId="7">[5]РД!$I$13</definedName>
    <definedName name="dDataDog" localSheetId="0">[15]РД!$I$13</definedName>
    <definedName name="dDataDog">[4]РД!$I$13</definedName>
    <definedName name="dDataS" localSheetId="7">[5]РД!$L$9</definedName>
    <definedName name="dDataS" localSheetId="0">[15]РД!$L$9</definedName>
    <definedName name="dDataS">[4]РД!$L$9</definedName>
    <definedName name="dDil" localSheetId="7">[5]РД!$L$12</definedName>
    <definedName name="dDil" localSheetId="0">[15]РД!$L$12</definedName>
    <definedName name="dDil">[4]РД!$L$12</definedName>
    <definedName name="dDlina">OFFSET(#REF!,0,0,COUNTA(#REF!),1)</definedName>
    <definedName name="dK_Vukon" localSheetId="1">[6]РД!#REF!</definedName>
    <definedName name="dK_Vukon" localSheetId="3">[6]РД!#REF!</definedName>
    <definedName name="dK_Vukon" localSheetId="0">[16]РД!#REF!</definedName>
    <definedName name="dK_Vukon" localSheetId="2">[6]РД!#REF!</definedName>
    <definedName name="dK_Vukon">[2]РД!$N$5</definedName>
    <definedName name="dKd" localSheetId="1">[6]РД!#REF!</definedName>
    <definedName name="dKd" localSheetId="7">[5]РД!$I$2</definedName>
    <definedName name="dKd" localSheetId="3">[6]РД!#REF!</definedName>
    <definedName name="dKd" localSheetId="0">[16]РД!#REF!</definedName>
    <definedName name="dKd" localSheetId="2">[6]РД!#REF!</definedName>
    <definedName name="dKd" localSheetId="4">[4]РД!$I$2</definedName>
    <definedName name="dKd">[2]РД!$L$2</definedName>
    <definedName name="dKV" localSheetId="7">[5]РД!$B$3</definedName>
    <definedName name="dKV" localSheetId="0">[15]РД!$B$3</definedName>
    <definedName name="dKV">[4]РД!$B$3</definedName>
    <definedName name="dLisVo" localSheetId="1">[6]РД!#REF!</definedName>
    <definedName name="dLisVo" localSheetId="7">[5]РД!$B$2</definedName>
    <definedName name="dLisVo" localSheetId="3">[6]РД!#REF!</definedName>
    <definedName name="dLisVo" localSheetId="0">[16]РД!#REF!</definedName>
    <definedName name="dLisVo" localSheetId="2">[6]РД!#REF!</definedName>
    <definedName name="dLisVo" localSheetId="4">[4]РД!$B$2</definedName>
    <definedName name="dLisVo">[2]РД!$A$2</definedName>
    <definedName name="dMas" localSheetId="1">[6]РД!#REF!</definedName>
    <definedName name="dMas" localSheetId="7">[5]РД!$I$5</definedName>
    <definedName name="dMas" localSheetId="3">[6]РД!#REF!</definedName>
    <definedName name="dMas" localSheetId="0">[16]РД!#REF!</definedName>
    <definedName name="dMas" localSheetId="2">[6]РД!#REF!</definedName>
    <definedName name="dMas" localSheetId="4">[4]РД!$I$5</definedName>
    <definedName name="dMas">[2]РД!$O$2</definedName>
    <definedName name="dMas1Ga" localSheetId="7">[5]РД!$I$6</definedName>
    <definedName name="dMas1Ga" localSheetId="0">[15]РД!$I$6</definedName>
    <definedName name="dMas1Ga">[4]РД!$I$6</definedName>
    <definedName name="dMD">[4]РД!$G$1</definedName>
    <definedName name="dMLK">[4]РД!$J$1</definedName>
    <definedName name="dNel" localSheetId="1">[6]РД!#REF!</definedName>
    <definedName name="dNel" localSheetId="7">[5]РД!$I$4</definedName>
    <definedName name="dNel" localSheetId="3">[6]РД!#REF!</definedName>
    <definedName name="dNel" localSheetId="0">[16]РД!#REF!</definedName>
    <definedName name="dNel" localSheetId="2">[6]РД!#REF!</definedName>
    <definedName name="dNel" localSheetId="4">[4]РД!$I$4</definedName>
    <definedName name="dNel">[2]РД!$O$3</definedName>
    <definedName name="dNLK" localSheetId="7">[5]РД!$I$12</definedName>
    <definedName name="dNLK" localSheetId="0">[15]РД!$I$12</definedName>
    <definedName name="dNLK">[4]РД!$I$12</definedName>
    <definedName name="dNr" localSheetId="7">[5]РД!$B$6</definedName>
    <definedName name="dNr" localSheetId="0">[15]РД!$B$6</definedName>
    <definedName name="dNr">[4]РД!$B$6</definedName>
    <definedName name="dPl" localSheetId="1">[6]РД!#REF!</definedName>
    <definedName name="dPl" localSheetId="7">[5]РД!$B$5</definedName>
    <definedName name="dPl" localSheetId="3">[6]РД!#REF!</definedName>
    <definedName name="dPl" localSheetId="0">[16]РД!#REF!</definedName>
    <definedName name="dPl" localSheetId="2">[6]РД!#REF!</definedName>
    <definedName name="dPl" localSheetId="4">[4]РД!$B$5</definedName>
    <definedName name="dPl">[2]РД!$G$2</definedName>
    <definedName name="dPND" localSheetId="7">[5]РД!$I$1</definedName>
    <definedName name="dPND" localSheetId="0">[15]РД!$I$1</definedName>
    <definedName name="dPND">[4]РД!$I$1</definedName>
    <definedName name="DROV" localSheetId="7">[5]КоэфРГК!$A$103:$M$112</definedName>
    <definedName name="DROV" localSheetId="0">[15]КоэфРГК!$A$103:$M$112</definedName>
    <definedName name="DROV" localSheetId="4">[4]КоэфРГК!$A$103:$M$112</definedName>
    <definedName name="DROV">[2]КоэфРГК!$A$89:$M$98</definedName>
    <definedName name="DROV_HL" localSheetId="7">[5]КоэфРГК!$E$103:$E$112</definedName>
    <definedName name="DROV_HL" localSheetId="0">[15]КоэфРГК!$E$103:$E$112</definedName>
    <definedName name="DROV_HL">[4]КоэфРГК!$E$103:$E$112</definedName>
    <definedName name="dRV" localSheetId="7">[5]РД!$I$10</definedName>
    <definedName name="dRV" localSheetId="0">[15]РД!$I$10</definedName>
    <definedName name="dRV" localSheetId="4">[4]РД!$I$10</definedName>
    <definedName name="dRV">[2]РД!$B$5</definedName>
    <definedName name="DRV_HL">[2]КоэфРГК!$A$89:$A$98</definedName>
    <definedName name="dSumDog" localSheetId="1">[7]РД!$O$71</definedName>
    <definedName name="dSumDog" localSheetId="7">[5]РД!$L$68</definedName>
    <definedName name="dSumDog" localSheetId="3">[7]РД!$O$71</definedName>
    <definedName name="dSumDog" localSheetId="0">[7]РД!$O$71</definedName>
    <definedName name="dSumDog" localSheetId="2">[7]РД!$O$71</definedName>
    <definedName name="dSumDog" localSheetId="4">[4]РД!$L$68</definedName>
    <definedName name="dSumDog">[2]РД!$O$71</definedName>
    <definedName name="dT_11" localSheetId="7">[5]РД!$F$29</definedName>
    <definedName name="dT_11" localSheetId="0">[15]РД!$F$29</definedName>
    <definedName name="dT_11">[4]РД!$F$29</definedName>
    <definedName name="dT_12" localSheetId="7">[5]РД!$F$30</definedName>
    <definedName name="dT_12" localSheetId="0">[15]РД!$F$30</definedName>
    <definedName name="dT_12">[4]РД!$F$30</definedName>
    <definedName name="dT_13" localSheetId="7">[5]РД!$F$31</definedName>
    <definedName name="dT_13" localSheetId="0">[15]РД!$F$31</definedName>
    <definedName name="dT_13">[4]РД!$F$31</definedName>
    <definedName name="dT_21" localSheetId="7">[5]РД!$F$32</definedName>
    <definedName name="dT_21" localSheetId="0">[15]РД!$F$32</definedName>
    <definedName name="dT_21">[4]РД!$F$32</definedName>
    <definedName name="dT_22" localSheetId="7">[5]РД!$F$33</definedName>
    <definedName name="dT_22" localSheetId="0">[15]РД!$F$33</definedName>
    <definedName name="dT_22">[4]РД!$F$33</definedName>
    <definedName name="dT_23" localSheetId="7">[5]РД!$F$34</definedName>
    <definedName name="dT_23" localSheetId="0">[15]РД!$F$34</definedName>
    <definedName name="dT_23">[4]РД!$F$34</definedName>
    <definedName name="dT_31" localSheetId="7">[5]РД!$F$35</definedName>
    <definedName name="dT_31" localSheetId="0">[15]РД!$F$35</definedName>
    <definedName name="dT_31">[4]РД!$F$35</definedName>
    <definedName name="dT_32" localSheetId="7">[5]РД!$F$36</definedName>
    <definedName name="dT_32" localSheetId="0">[15]РД!$F$36</definedName>
    <definedName name="dT_32">[4]РД!$F$36</definedName>
    <definedName name="dT_33" localSheetId="7">[5]РД!$F$37</definedName>
    <definedName name="dT_33" localSheetId="0">[15]РД!$F$37</definedName>
    <definedName name="dT_33">[4]РД!$F$37</definedName>
    <definedName name="dT_41" localSheetId="7">[5]РД!$F$38</definedName>
    <definedName name="dT_41" localSheetId="0">[15]РД!$F$38</definedName>
    <definedName name="dT_41">[4]РД!$F$38</definedName>
    <definedName name="dT_42" localSheetId="7">[5]РД!$F$39</definedName>
    <definedName name="dT_42" localSheetId="0">[15]РД!$F$39</definedName>
    <definedName name="dT_42">[4]РД!$F$39</definedName>
    <definedName name="dT_43" localSheetId="7">[5]РД!$F$40</definedName>
    <definedName name="dT_43" localSheetId="0">[15]РД!$F$40</definedName>
    <definedName name="dT_43">[4]РД!$F$40</definedName>
    <definedName name="dTender">[4]РД!$K$1</definedName>
    <definedName name="dV" localSheetId="7">[5]РД!$B$4</definedName>
    <definedName name="dV" localSheetId="0">[15]РД!$B$4</definedName>
    <definedName name="dV">[4]РД!$B$4</definedName>
    <definedName name="dVukon" localSheetId="1">[6]РД!#REF!</definedName>
    <definedName name="dVukon" localSheetId="3">[6]РД!#REF!</definedName>
    <definedName name="dVukon" localSheetId="0">[16]РД!#REF!</definedName>
    <definedName name="dVukon" localSheetId="2">[6]РД!#REF!</definedName>
    <definedName name="dVukon">[2]РД!$M$5</definedName>
    <definedName name="dVutrKbm" localSheetId="1">[6]РД!#REF!</definedName>
    <definedName name="dVutrKbm" localSheetId="3">[6]РД!#REF!</definedName>
    <definedName name="dVutrKbm" localSheetId="0">[16]РД!#REF!</definedName>
    <definedName name="dVutrKbm" localSheetId="2">[6]РД!#REF!</definedName>
    <definedName name="dVutrKbm">[2]РД!$F$71</definedName>
    <definedName name="dZzap" localSheetId="7">[5]РД!$I$3</definedName>
    <definedName name="dZzap" localSheetId="0">[15]РД!$I$3</definedName>
    <definedName name="dZzap">[4]РД!$I$3</definedName>
    <definedName name="dККЗ">ККЗ</definedName>
    <definedName name="dРД_кошторис">РД_кошторис!$A$4:$K$18</definedName>
    <definedName name="dумДатаТарифы" localSheetId="7">[5]РД!$B$8</definedName>
    <definedName name="dумДатаТарифы" localSheetId="0">[15]РД!$B$8</definedName>
    <definedName name="dумДатаТарифы">[4]РД!$B$8</definedName>
    <definedName name="EVALUATE">EVALUATE([14]Шаблоны!E1048553)</definedName>
    <definedName name="FAN" localSheetId="7">[5]КоэфРГК!$A$71:$M$81</definedName>
    <definedName name="FAN" localSheetId="0">[15]КоэфРГК!$A$71:$M$81</definedName>
    <definedName name="FAN" localSheetId="4">[4]КоэфРГК!$A$71:$M$81</definedName>
    <definedName name="FAN">[2]КоэфРГК!$A$61:$M$70</definedName>
    <definedName name="FAN_HL" localSheetId="7">[5]КоэфРГК!$A$71:$A$80</definedName>
    <definedName name="FAN_HL" localSheetId="0">[15]КоэфРГК!$A$71:$A$80</definedName>
    <definedName name="FAN_HL" localSheetId="4">[4]КоэфРГК!$A$71:$A$80</definedName>
    <definedName name="FAN_HL">[2]КоэфРГК!$A$61:$A$70</definedName>
    <definedName name="fDot">Форма!$B$2</definedName>
    <definedName name="fmЗнач2">Форма!$E$127</definedName>
    <definedName name="fmЗнач3">Форма!$E$128</definedName>
    <definedName name="fmЗнач5">Форма!$E$130</definedName>
    <definedName name="fmЗнач6">Форма!$E$131</definedName>
    <definedName name="fmЗнач8">Форма!$E$133</definedName>
    <definedName name="fmЗнач9">Форма!$E$134</definedName>
    <definedName name="f№Акт">Форма!$B$92</definedName>
    <definedName name="f№АктДата">Форма!$B$93</definedName>
    <definedName name="f№ДП">Форма!$B$60</definedName>
    <definedName name="f№ДПДата">Форма!$B$61</definedName>
    <definedName name="f№ЛК">Форма!$B$51</definedName>
    <definedName name="f№ЛКДата">Форма!$B$52</definedName>
    <definedName name="f№ЛКДатаЗак">Форма!$B$56</definedName>
    <definedName name="fSokrLis">Форма!$C$16</definedName>
    <definedName name="fВидел" localSheetId="21">[2]Константы!$B$100</definedName>
    <definedName name="fВидел">Форма!$B$22</definedName>
    <definedName name="fВидРубки">Форма!$B$15</definedName>
    <definedName name="fВидШаблона">Форма!$B$4</definedName>
    <definedName name="fВиконавець_КерПІБ">Форма!$B$107</definedName>
    <definedName name="fВиконавець_КерПосада">Форма!$B$106</definedName>
    <definedName name="fВиконавець_ПІД_ВідВиконавця">Форма!$B$108</definedName>
    <definedName name="fВитрати_сорт_ручне">Форма!$B$67</definedName>
    <definedName name="fВитрати_хлисти_мех">Форма!$B$68</definedName>
    <definedName name="fВсього">Форма!$B$112</definedName>
    <definedName name="fВсього__ліквідної_деревини">Форма!$B$45</definedName>
    <definedName name="fВсьогоДоговір">Форма!$B$76</definedName>
    <definedName name="fВсьогоДоговір_Вибір">Форма!$C$76</definedName>
    <definedName name="fВсьогоДоговір_хл">Форма!$B$77</definedName>
    <definedName name="fВсьогоДоговір_хл_Вибір">Форма!$C$77</definedName>
    <definedName name="fВсьогоДоговірПРП">Форма!$B$82</definedName>
    <definedName name="fВсьогоДоговірПРП_хл">Форма!$B$83</definedName>
    <definedName name="fДата_ПР">Форма!$B$89</definedName>
    <definedName name="fДілової">Форма!$B$42</definedName>
    <definedName name="fДілової_Вибір">Форма!$C$42</definedName>
    <definedName name="fДілянка" localSheetId="21">[2]Константы!$B$99</definedName>
    <definedName name="fДілянка">Форма!$B$23</definedName>
    <definedName name="fДЛГ">Форма!$B$5</definedName>
    <definedName name="fДровяної">Форма!$B$43</definedName>
    <definedName name="fДровяної_Вибір">Форма!$C$43</definedName>
    <definedName name="fКвартал">Форма!$B$21</definedName>
    <definedName name="fКілДерев">Форма!$B$39</definedName>
    <definedName name="fКод">Форма!$B$3</definedName>
    <definedName name="fЛіквід">Форма!$B$25</definedName>
    <definedName name="fЛіквід_Вибір">Форма!$C$25</definedName>
    <definedName name="fЛісництвА">Форма!$B$17</definedName>
    <definedName name="fЛісництво">Форма!$B$16</definedName>
    <definedName name="fЛісничий">Форма!$B$47</definedName>
    <definedName name="fЛісничОГО">Форма!$B$48</definedName>
    <definedName name="fМастер">Форма!$B$49</definedName>
    <definedName name="fМастер_Вибір">Форма!$C$49</definedName>
    <definedName name="fмісяць_ПР">Форма!$B$90</definedName>
    <definedName name="fНелеквід">Форма!$B$26</definedName>
    <definedName name="fОбьемПР">Форма!$B$138</definedName>
    <definedName name="fОсобіВідВиконавця">Форма!$B$109</definedName>
    <definedName name="fПДВ">Форма!$B$111</definedName>
    <definedName name="fПДВ_Договір_хл">Форма!$B$75</definedName>
    <definedName name="fПДВДоговір">Форма!$B$74</definedName>
    <definedName name="fПДВДоговірПРП">Форма!$B$80</definedName>
    <definedName name="fПДВДоговірПРП_хл">Форма!$B$81</definedName>
    <definedName name="fПДВпр">Форма!$B$65</definedName>
    <definedName name="fПлощаВиконання">Форма!$B$27</definedName>
    <definedName name="fПлощадь">Форма!$B$24</definedName>
    <definedName name="fПолнаяДіл">Форма!$B$19</definedName>
    <definedName name="fПочатокРобіт">Форма!$B$88</definedName>
    <definedName name="fРазомПоЛК">Форма!$B$46</definedName>
    <definedName name="fрік_ПР">Форма!$B$91</definedName>
    <definedName name="fРозрядВисот">Форма!$B$36</definedName>
    <definedName name="fРозцінка">Форма!$B$69</definedName>
    <definedName name="fРозцінка_хл">Форма!$B$70</definedName>
    <definedName name="fСерОбХл">Форма!$B$40</definedName>
    <definedName name="fСокр_Виконавець">Форма!$B$98</definedName>
    <definedName name="fСокр_Виконавець_Вибір">Форма!$C$98</definedName>
    <definedName name="fСокр_Виконавець_Повне">Форма!$B$99</definedName>
    <definedName name="fСпосіб_рубання_молодняк">Форма!$B$66</definedName>
    <definedName name="fСума">Форма!$B$110</definedName>
    <definedName name="fСума_Договір_хл">Форма!$B$73</definedName>
    <definedName name="fСумаДоговір">Форма!$B$72</definedName>
    <definedName name="fСумаДоговірЗПДВ">Форма!$D$76</definedName>
    <definedName name="fСумаДоговірЗПДВ_хл">Форма!$D$77</definedName>
    <definedName name="fСумаДоговірПРП">Форма!$B$78</definedName>
    <definedName name="fСумаДоговірПРП_хл">Форма!$B$79</definedName>
    <definedName name="fТабл">Форма!$B$120</definedName>
    <definedName name="fУмовиЗберігання">Форма!$B$84</definedName>
    <definedName name="fУмовиРоботи">Форма!$B$38</definedName>
    <definedName name="fХмизу">Форма!$B$44</definedName>
    <definedName name="fХмизу_Вибір">Форма!$C$44</definedName>
    <definedName name="g">"g"</definedName>
    <definedName name="gbPribiranny" localSheetId="7">[5]РГК!$L$6</definedName>
    <definedName name="gbPribiranny" localSheetId="0">[15]РГК!$L$6</definedName>
    <definedName name="gbPribiranny">[4]РГК!$L$6</definedName>
    <definedName name="gbSpaluvanny">[14]РГК!$P$10</definedName>
    <definedName name="gbSpiluvanny" localSheetId="7">[5]РГК!$L$8</definedName>
    <definedName name="gbSpiluvanny" localSheetId="0">[15]РГК!$L$8</definedName>
    <definedName name="gbSpiluvanny">[4]РГК!$L$8</definedName>
    <definedName name="gbZrizuvanny" localSheetId="7">[5]РГК!$L$7</definedName>
    <definedName name="gbZrizuvanny" localSheetId="0">[15]РГК!$L$7</definedName>
    <definedName name="gbZrizuvanny">[4]РГК!$L$7</definedName>
    <definedName name="gCKR" localSheetId="7">[5]РГК!$H$1</definedName>
    <definedName name="gCKR" localSheetId="0">[15]РГК!$H$1</definedName>
    <definedName name="gCKR">[4]РГК!$H$1</definedName>
    <definedName name="gCrHl" localSheetId="7">[5]РГК!$I$7</definedName>
    <definedName name="gCrHl" localSheetId="0">[15]РГК!$I$7</definedName>
    <definedName name="gCrHl" localSheetId="4">[4]РГК!$I$7</definedName>
    <definedName name="gCrHl">[2]РГК!$L$4</definedName>
    <definedName name="gCZ" localSheetId="7">[5]РГК!$I$8</definedName>
    <definedName name="gCZ" localSheetId="0">[15]РГК!$I$8</definedName>
    <definedName name="gCZ">[4]РГК!$I$8</definedName>
    <definedName name="gDataS" localSheetId="7">[5]РГК!$L$9</definedName>
    <definedName name="gDataS" localSheetId="0">[15]РГК!$L$9</definedName>
    <definedName name="gDataS">[4]РГК!$L$9</definedName>
    <definedName name="gDil" localSheetId="7">[5]РГК!$L$12</definedName>
    <definedName name="gDil" localSheetId="0">[15]РГК!$L$12</definedName>
    <definedName name="gDil">[4]РГК!$L$12</definedName>
    <definedName name="gGp" localSheetId="7">[5]РГК!$B$13</definedName>
    <definedName name="gGp" localSheetId="0">[15]РГК!$B$13</definedName>
    <definedName name="gGp">[4]РГК!$B$13</definedName>
    <definedName name="gK_Vukon">[2]РГК!$N$5</definedName>
    <definedName name="gKd" localSheetId="7">[5]РГК!$I$2</definedName>
    <definedName name="gKd" localSheetId="0">[15]РГК!$I$2</definedName>
    <definedName name="gKd" localSheetId="4">[4]РГК!$I$2</definedName>
    <definedName name="gKd">[2]РГК!$I$2</definedName>
    <definedName name="gKS">[2]РГК!$K$5</definedName>
    <definedName name="gKV" localSheetId="7">[5]РГК!$B$3</definedName>
    <definedName name="gKV" localSheetId="0">[15]РГК!$B$3</definedName>
    <definedName name="gKV">[4]РГК!$B$3</definedName>
    <definedName name="gKZ">[14]РГК!$I$11</definedName>
    <definedName name="gLisVo" localSheetId="7">[5]РГК!$B$2</definedName>
    <definedName name="gLisVo" localSheetId="0">[15]РГК!$B$2</definedName>
    <definedName name="gLisVo" localSheetId="4">[4]РГК!$B$2</definedName>
    <definedName name="gLisVo">[2]РГК!$A$2</definedName>
    <definedName name="gMas" localSheetId="7">[5]РГК!$I$5</definedName>
    <definedName name="gMas" localSheetId="0">[15]РГК!$I$5</definedName>
    <definedName name="gMas" localSheetId="4">[4]РГК!$I$5</definedName>
    <definedName name="gMas">[2]РГК!$L$2</definedName>
    <definedName name="gMas1Ga" localSheetId="7">[5]РГК!$I$6</definedName>
    <definedName name="gMas1Ga" localSheetId="0">[15]РГК!$I$6</definedName>
    <definedName name="gMas1Ga" localSheetId="4">[4]РГК!$I$6</definedName>
    <definedName name="gMas1Ga">[2]РГК!$Q$4</definedName>
    <definedName name="gMD" localSheetId="7">[5]РГК!$G$1</definedName>
    <definedName name="gMD" localSheetId="0">[15]РГК!$G$1</definedName>
    <definedName name="gMD">[4]РГК!$G$1</definedName>
    <definedName name="gMLK" localSheetId="7">[5]РГК!$J$1</definedName>
    <definedName name="gMLK" localSheetId="0">[15]РГК!$J$1</definedName>
    <definedName name="gMLK">[4]РГК!$J$1</definedName>
    <definedName name="gNel" localSheetId="7">[5]РГК!$I$4</definedName>
    <definedName name="gNel" localSheetId="0">[15]РГК!$I$4</definedName>
    <definedName name="gNel" localSheetId="4">[4]РГК!$I$4</definedName>
    <definedName name="gNel">[2]РГК!$P$5</definedName>
    <definedName name="gNLK" localSheetId="7">[5]РГК!$I$12</definedName>
    <definedName name="gNLK" localSheetId="0">[15]РГК!$I$12</definedName>
    <definedName name="gNLK">[4]РГК!$I$12</definedName>
    <definedName name="gNr" localSheetId="7">[5]РГК!$B$6</definedName>
    <definedName name="gNr" localSheetId="0">[15]РГК!$B$6</definedName>
    <definedName name="gNr">[4]РГК!$B$6</definedName>
    <definedName name="gPidrist">[14]РГК!$B$12</definedName>
    <definedName name="gPl" localSheetId="7">[5]РГК!$B$5</definedName>
    <definedName name="gPl" localSheetId="0">[15]РГК!$B$5</definedName>
    <definedName name="gPl" localSheetId="4">[4]РГК!$B$5</definedName>
    <definedName name="gPl">[2]РГК!$G$2</definedName>
    <definedName name="gPND" localSheetId="7">[5]РГК!$I$1</definedName>
    <definedName name="gPND" localSheetId="0">[15]РГК!$I$1</definedName>
    <definedName name="gPND">[4]РГК!$I$1</definedName>
    <definedName name="gRV" localSheetId="7">[5]РГК!$I$10</definedName>
    <definedName name="gRV" localSheetId="0">[15]РГК!$I$10</definedName>
    <definedName name="gRV">[4]РГК!$I$10</definedName>
    <definedName name="gSOP" localSheetId="7">[5]РГК!$B$11</definedName>
    <definedName name="gSOP" localSheetId="0">[15]РГК!$B$11</definedName>
    <definedName name="gSOP">[4]РГК!$B$11</definedName>
    <definedName name="gSumDog" localSheetId="7">[5]РГК!$L$79</definedName>
    <definedName name="gSumDog" localSheetId="0">[15]РГК!$L$79</definedName>
    <definedName name="gSumDog" localSheetId="4">[4]РГК!$L$79</definedName>
    <definedName name="gSumDog">[2]РГК!$O$64</definedName>
    <definedName name="gT_11">[14]РГК!$F$39</definedName>
    <definedName name="gT_12">[14]РГК!$F$40</definedName>
    <definedName name="gT_13">[14]РГК!$F$41</definedName>
    <definedName name="gT_21">[14]РГК!$F$42</definedName>
    <definedName name="gT_22">[14]РГК!$F$43</definedName>
    <definedName name="gT_23">[14]РГК!$F$44</definedName>
    <definedName name="gT_31">[14]РГК!$F$45</definedName>
    <definedName name="gT_32">[14]РГК!$F$46</definedName>
    <definedName name="gT_33">[14]РГК!$F$47</definedName>
    <definedName name="gT_41">[14]РГК!$F$48</definedName>
    <definedName name="gT_42">[14]РГК!$F$49</definedName>
    <definedName name="gT_43">[14]РГК!$F$50</definedName>
    <definedName name="gT_51">[14]РГК!$F$60</definedName>
    <definedName name="gT_52">[14]РГК!$F$61</definedName>
    <definedName name="gT_53">[14]РГК!$F$62</definedName>
    <definedName name="gTender" localSheetId="7">[5]РГК!$K$1</definedName>
    <definedName name="gTender" localSheetId="0">[15]РГК!$K$1</definedName>
    <definedName name="gTender">[4]РГК!$K$1</definedName>
    <definedName name="gUmRab" localSheetId="7">[5]РГК!$B$7</definedName>
    <definedName name="gUmRab" localSheetId="0">[15]РГК!$B$7</definedName>
    <definedName name="gUmRab">[4]РГК!$B$7</definedName>
    <definedName name="gV" localSheetId="7">[5]РГК!$B$4</definedName>
    <definedName name="gV" localSheetId="0">[15]РГК!$B$4</definedName>
    <definedName name="gV">[4]РГК!$B$4</definedName>
    <definedName name="gVitratuSort">[14]РГК!$F$69</definedName>
    <definedName name="gVitratuXlist">[14]РГК!$F$71</definedName>
    <definedName name="gVMP" localSheetId="7">[5]РГК!$B$10</definedName>
    <definedName name="gVMP" localSheetId="0">[15]РГК!$B$10</definedName>
    <definedName name="gVMP">[4]РГК!$B$10</definedName>
    <definedName name="gVukon">[2]РГК!$M$5</definedName>
    <definedName name="gZah" localSheetId="7">[5]РГК!$B$12</definedName>
    <definedName name="gZah" localSheetId="0">[15]РГК!$B$12</definedName>
    <definedName name="gZah">[4]РГК!$B$12</definedName>
    <definedName name="gZzap" localSheetId="7">[5]РГК!$I$3</definedName>
    <definedName name="gZzap" localSheetId="0">[15]РГК!$I$3</definedName>
    <definedName name="gZzap">[4]РГК!$I$3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 localSheetId="0">'РГК_кошторис (2)'!$A$4:$J$19</definedName>
    <definedName name="gРГК_кошторис">РГК_кошторис!$A$4:$I$19</definedName>
    <definedName name="gРГК_протокол">РГК_кошторис!$A$33:$H$42</definedName>
    <definedName name="gРГК_ТЗ">РГК_кошторис!$A$48:$H$60</definedName>
    <definedName name="gумДатаТарифы" localSheetId="7">[5]РГК!$B$8</definedName>
    <definedName name="gумДатаТарифы" localSheetId="0">[15]РГК!$B$8</definedName>
    <definedName name="gумДатаТарифы">[4]РГК!$B$8</definedName>
    <definedName name="idВидРубки" localSheetId="5">{"РГК","РД","Молодняк"}</definedName>
    <definedName name="idВидРубки" localSheetId="6">{"РГК","РД","Молодняк"}</definedName>
    <definedName name="idВидРубки">{"РГК","РД","Молодняк"}</definedName>
    <definedName name="idСортимент">OFFSET([2]Сортимент!$A$2,0,0,COUNTA([2]Сортимент!$A$2:$A$65536),1)</definedName>
    <definedName name="k">"k"</definedName>
    <definedName name="KOL" localSheetId="7">[5]КоэфРГК!$A$195:$E$195</definedName>
    <definedName name="KOL" localSheetId="0">[15]КоэфРГК!$A$195:$E$195</definedName>
    <definedName name="KOL">[4]КоэфРГК!$A$195:$E$195</definedName>
    <definedName name="lТабЛісва" localSheetId="7">OFFSET([5]Лісництва!$A$1,0,0,COUNTA([5]Лісництва!$A$1:$A$65535),COUNTA([5]Лісництва!$A$1:$IU$1))</definedName>
    <definedName name="lТабЛісва" localSheetId="0">OFFSET([15]Лісництва!$A$1,0,0,COUNTA([15]Лісництва!$A$1:$A$65535),COUNTA([15]Лісництва!$A$1:$IU$1))</definedName>
    <definedName name="lТабЛісва" localSheetId="4">OFFSET([4]Лісництва!$A$1,0,0,COUNTA([4]Лісництва!$A$1:$A$65535),COUNTA([4]Лісництва!$A$1:$IU$1))</definedName>
    <definedName name="lТабЛісва">OFFSET([2]Лісництва!$A$1,0,0,COUNTA([2]Лісництва!$A$1:$A$65535),COUNTA([2]Лісництва!$A$1:$IU$1))</definedName>
    <definedName name="m">"m"</definedName>
    <definedName name="maВіл" localSheetId="7">OFFSET([5]Мастера!$C$1,0,0,COUNTA([5]Мастера!$C$1:$C$65535),1)</definedName>
    <definedName name="maВіл" localSheetId="0">OFFSET([15]Мастера!$C$1,0,0,COUNTA([15]Мастера!$C$1:$C$65535),1)</definedName>
    <definedName name="maВіл" localSheetId="4">OFFSET([4]Мастера!$C$1,0,0,COUNTA([4]Мастера!$C$1:$C$65535),1)</definedName>
    <definedName name="maВіл">OFFSET([2]Мастера!$C$1,0,0,COUNTA([2]Мастера!$C$1:$C$65535),1)</definedName>
    <definedName name="maКат" localSheetId="7">OFFSET([5]Мастера!$A$1,0,0,COUNTA([5]Мастера!$A$1:$A$65535),1)</definedName>
    <definedName name="maКат" localSheetId="0">OFFSET([15]Мастера!$A$1,0,0,COUNTA([15]Мастера!$A$1:$A$65535),1)</definedName>
    <definedName name="maКат" localSheetId="4">OFFSET([4]Мастера!$A$1,0,0,COUNTA([4]Мастера!$A$1:$A$65535),1)</definedName>
    <definedName name="maКат">OFFSET([2]Мастера!$A$1,0,0,COUNTA([2]Мастера!$A$1:$A$65535),1)</definedName>
    <definedName name="maКоз" localSheetId="7">OFFSET([5]Мастера!$B$1,0,0,COUNTA([5]Мастера!$B$1:$B$65535),1)</definedName>
    <definedName name="maКоз" localSheetId="0">OFFSET([15]Мастера!$B$1,0,0,COUNTA([15]Мастера!$B$1:$B$65535),1)</definedName>
    <definedName name="maКоз" localSheetId="4">OFFSET([4]Мастера!$B$1,0,0,COUNTA([4]Мастера!$B$1:$B$65535),1)</definedName>
    <definedName name="maКоз">OFFSET([2]Мастера!$B$1,0,0,COUNTA([2]Мастера!$B$1:$B$65535),1)</definedName>
    <definedName name="maПех" localSheetId="7">OFFSET([5]Мастера!$D$1,0,0,COUNTA([5]Мастера!$D$1:$D$65535),1)</definedName>
    <definedName name="maПех" localSheetId="0">OFFSET([15]Мастера!$D$1,0,0,COUNTA([15]Мастера!$D$1:$D$65535),1)</definedName>
    <definedName name="maПех" localSheetId="4">OFFSET([4]Мастера!$D$1,0,0,COUNTA([4]Мастера!$D$1:$D$65535),1)</definedName>
    <definedName name="maПех">OFFSET([2]Мастера!$D$1,0,0,COUNTA([2]Мастера!$D$1:$D$65535),1)</definedName>
    <definedName name="maХл" localSheetId="7">OFFSET([5]Мастера!$E$1,0,0,COUNTA([5]Мастера!$E$1:$E$65535),1)</definedName>
    <definedName name="maХл" localSheetId="0">OFFSET([15]Мастера!$E$1,0,0,COUNTA([15]Мастера!$E$1:$E$65535),1)</definedName>
    <definedName name="maХл" localSheetId="4">OFFSET([4]Мастера!$E$1,0,0,COUNTA([4]Мастера!$E$1:$E$65535),1)</definedName>
    <definedName name="maХл">OFFSET([2]Мастера!$E$1,0,0,COUNTA([2]Мастера!$E$1:$E$65535),1)</definedName>
    <definedName name="maШп" localSheetId="7">OFFSET([5]Мастера!$F$1,0,0,COUNTA([5]Мастера!$F$1:$F$65535),1)</definedName>
    <definedName name="maШп" localSheetId="0">OFFSET([15]Мастера!$F$1,0,0,COUNTA([15]Мастера!$F$1:$F$65535),1)</definedName>
    <definedName name="maШп" localSheetId="4">OFFSET([4]Мастера!$F$1,0,0,COUNTA([4]Мастера!$F$1:$F$65535),1)</definedName>
    <definedName name="maШп">OFFSET([2]Мастера!$F$1,0,0,COUNTA([2]Мастера!$F$1:$F$65535),1)</definedName>
    <definedName name="mCKR" localSheetId="0">[15]Молодняки!$H$1</definedName>
    <definedName name="mCKR">[14]Молодняки!$H$1</definedName>
    <definedName name="mCZ" localSheetId="1">'[6]Молодняки механізовані'!#REF!</definedName>
    <definedName name="mCZ" localSheetId="3">'[6]Молодняки механізовані'!#REF!</definedName>
    <definedName name="mCZ" localSheetId="0">'[16]Молодняки механізовані'!#REF!</definedName>
    <definedName name="mCZ" localSheetId="2">'[6]Молодняки механізовані'!#REF!</definedName>
    <definedName name="mCZ">[2]Молодняк!$L$4</definedName>
    <definedName name="mDataDog" localSheetId="7">[5]Молодняки!$I$13</definedName>
    <definedName name="mDataDog" localSheetId="0">[15]Молодняки!$I$13</definedName>
    <definedName name="mDataDog">#REF!</definedName>
    <definedName name="mDataS" localSheetId="0">[15]Молодняки!$L$9</definedName>
    <definedName name="mDataS">[14]Молодняки!$L$9</definedName>
    <definedName name="mDil" localSheetId="7">[5]Молодняки!$L$12</definedName>
    <definedName name="mDil" localSheetId="0">[15]Молодняки!$L$12</definedName>
    <definedName name="mDil">[4]Молодняки!$L$12</definedName>
    <definedName name="mDovginaVerh" localSheetId="0">[15]Молодняки!$L$10</definedName>
    <definedName name="mDovginaVerh">[5]Молодняки!$L$10</definedName>
    <definedName name="mK_Skladanny" localSheetId="1">'[6]Молодняки механізовані'!#REF!</definedName>
    <definedName name="mK_Skladanny" localSheetId="7">[5]Молодняки!$M$13</definedName>
    <definedName name="mK_Skladanny" localSheetId="3">'[6]Молодняки механізовані'!#REF!</definedName>
    <definedName name="mK_Skladanny" localSheetId="0">'[16]Молодняки механізовані'!#REF!</definedName>
    <definedName name="mK_Skladanny" localSheetId="2">'[6]Молодняки механізовані'!#REF!</definedName>
    <definedName name="mK_Skladanny" localSheetId="4">#REF!</definedName>
    <definedName name="mK_Skladanny">[2]Молодняк!$P$5</definedName>
    <definedName name="mK_Vukon" localSheetId="1">'[6]Молодняки механізовані'!#REF!</definedName>
    <definedName name="mK_Vukon" localSheetId="3">'[6]Молодняки механізовані'!#REF!</definedName>
    <definedName name="mK_Vukon" localSheetId="0">'[16]Молодняки механізовані'!#REF!</definedName>
    <definedName name="mK_Vukon" localSheetId="2">'[6]Молодняки механізовані'!#REF!</definedName>
    <definedName name="mK_Vukon">[2]Молодняк!$N$5</definedName>
    <definedName name="mKV" localSheetId="7">[5]Молодняки!$B$3</definedName>
    <definedName name="mKV" localSheetId="0">[15]Молодняки!$B$3</definedName>
    <definedName name="mKV">[4]Молодняки!$B$3</definedName>
    <definedName name="mLisVo" localSheetId="1">'[6]Молодняки механізовані'!#REF!</definedName>
    <definedName name="mLisVo" localSheetId="7">[5]Молодняки!$B$2</definedName>
    <definedName name="mLisVo" localSheetId="3">'[6]Молодняки механізовані'!#REF!</definedName>
    <definedName name="mLisVo" localSheetId="0">'[16]Молодняки механізовані'!#REF!</definedName>
    <definedName name="mLisVo" localSheetId="2">'[6]Молодняки механізовані'!#REF!</definedName>
    <definedName name="mLisVo" localSheetId="4">#REF!</definedName>
    <definedName name="mLisVo">[2]Молодняк!$A$3</definedName>
    <definedName name="mMas" localSheetId="1">'[6]Молодняки механізовані'!#REF!</definedName>
    <definedName name="mMas" localSheetId="3">'[6]Молодняки механізовані'!#REF!</definedName>
    <definedName name="mMas" localSheetId="0">'[16]Молодняки механізовані'!#REF!</definedName>
    <definedName name="mMas" localSheetId="2">'[6]Молодняки механізовані'!#REF!</definedName>
    <definedName name="mMas">[2]Молодняк!$K$3</definedName>
    <definedName name="mMas1Ga" localSheetId="7">[5]Молодняки!$I$6</definedName>
    <definedName name="mMas1Ga" localSheetId="0">[15]Молодняки!$I$6</definedName>
    <definedName name="mMas1Ga" localSheetId="4">#REF!</definedName>
    <definedName name="mMas1Ga">[2]Молодняк!$Q$4</definedName>
    <definedName name="mMD" localSheetId="7">[5]Молодняки!$G$1</definedName>
    <definedName name="mMD" localSheetId="0">[15]Молодняки!$G$1</definedName>
    <definedName name="mMD">[4]Молодняки!$G$1</definedName>
    <definedName name="mMLK" localSheetId="0">[15]Молодняки!$J$1</definedName>
    <definedName name="mMLK">[14]Молодняки!$J$1</definedName>
    <definedName name="mNLK" localSheetId="7">[5]Молодняки!$I$12</definedName>
    <definedName name="mNLK" localSheetId="0">[15]Молодняки!$I$12</definedName>
    <definedName name="mNLK">[4]Молодняки!$I$12</definedName>
    <definedName name="mNr" localSheetId="0">[15]Молодняки!$B$6</definedName>
    <definedName name="mNr">[14]Молодняки!$B$6</definedName>
    <definedName name="mPl" localSheetId="1">'[6]Молодняки механізовані'!#REF!</definedName>
    <definedName name="mPl" localSheetId="3">'[6]Молодняки механізовані'!#REF!</definedName>
    <definedName name="mPl" localSheetId="0">'[16]Молодняки механізовані'!#REF!</definedName>
    <definedName name="mPl" localSheetId="2">'[6]Молодняки механізовані'!#REF!</definedName>
    <definedName name="mPl">[2]Молодняк!$G$3</definedName>
    <definedName name="mPND" localSheetId="0">[15]Молодняки!$I$1</definedName>
    <definedName name="mPND">[14]Молодняки!$I$1</definedName>
    <definedName name="mSpRob">[2]Молодняк!$W$66</definedName>
    <definedName name="mSumDog" localSheetId="1">[8]Молодняк!$W$67</definedName>
    <definedName name="mSumDog" localSheetId="7">[5]Молодняки!#REF!</definedName>
    <definedName name="mSumDog" localSheetId="3">[8]Молодняк!$W$67</definedName>
    <definedName name="mSumDog" localSheetId="0">[8]Молодняк!$W$67</definedName>
    <definedName name="mSumDog" localSheetId="2">[8]Молодняк!$W$67</definedName>
    <definedName name="mSumDog">[2]Молодняк!$W$67</definedName>
    <definedName name="mTender" localSheetId="0">[15]Молодняки!$K$1</definedName>
    <definedName name="mTender">[14]Молодняки!$K$1</definedName>
    <definedName name="mV" localSheetId="7">[5]Молодняки!$B$4</definedName>
    <definedName name="mV" localSheetId="0">[15]Молодняки!$B$4</definedName>
    <definedName name="mV">[4]Молодняки!$B$4</definedName>
    <definedName name="mVukon" localSheetId="1">'[6]Молодняки механізовані'!#REF!</definedName>
    <definedName name="mVukon" localSheetId="3">'[6]Молодняки механізовані'!#REF!</definedName>
    <definedName name="mVukon" localSheetId="0">'[16]Молодняки механізовані'!#REF!</definedName>
    <definedName name="mVukon" localSheetId="2">'[6]Молодняки механізовані'!#REF!</definedName>
    <definedName name="mVukon">[2]Молодняк!$M$5</definedName>
    <definedName name="mZZ" localSheetId="1">'[6]Молодняки механізовані'!#REF!</definedName>
    <definedName name="mZZ" localSheetId="3">'[6]Молодняки механізовані'!#REF!</definedName>
    <definedName name="mZZ" localSheetId="0">'[16]Молодняки механізовані'!#REF!</definedName>
    <definedName name="mZZ" localSheetId="2">'[6]Молодняки механізовані'!#REF!</definedName>
    <definedName name="mZZ">[2]Молодняк!$K$3</definedName>
    <definedName name="mZzap" localSheetId="7">[5]Молодняки!$I$3</definedName>
    <definedName name="mZzap" localSheetId="0">[15]Молодняки!$I$3</definedName>
    <definedName name="mZzap">#REF!</definedName>
    <definedName name="mККЗ">ККЗ</definedName>
    <definedName name="mМолодняки_кошторис">Молодняки_кошторис!$A$4:$K$10</definedName>
    <definedName name="nDiloMX">[2]Нормы!$A$20:$U$43</definedName>
    <definedName name="nPor">OFFSET([2]Порода!$F$2,0,0,COUNTA([2]Порода!$F$2:$F$65535),1)</definedName>
    <definedName name="nSortiment">OFFSET([2]Сортимент!$C$2,0,0,COUNTA([2]Сортимент!$C$2:$C$65516),1)</definedName>
    <definedName name="nVukon">OFFSET([2]Виконавец!$B$2,0,0,COUNTA([2]Виконавец!$B$2:$B$65533),1)</definedName>
    <definedName name="nДЛГ">OFFSET(ДЛГ!$A$2,0,0,COUNTA(ДЛГ!$A$2:$A$65522),1)</definedName>
    <definedName name="nМесяца">Месяца!$A$1:$A$12</definedName>
    <definedName name="nПечать">INDIRECT("Печать[Наименование]")</definedName>
    <definedName name="nСортимент">OFFSET([2]Сортимент!$C$2,0,0,COUNTA([2]Сортимент!$C$2:$C$65536),1)</definedName>
    <definedName name="OBR" localSheetId="7">[5]КоэфРГК!$A$23:$M$32</definedName>
    <definedName name="OBR" localSheetId="0">[15]КоэфРГК!$A$23:$M$32</definedName>
    <definedName name="OBR" localSheetId="4">[4]КоэфРГК!$A$23:$M$32</definedName>
    <definedName name="OBR">[2]КоэфРГК!$A$19:$M$28</definedName>
    <definedName name="OBR_HL" localSheetId="7">[5]КоэфРГК!$A$23:$A$32</definedName>
    <definedName name="OBR_HL" localSheetId="0">[15]КоэфРГК!$A$23:$A$32</definedName>
    <definedName name="OBR_HL" localSheetId="4">[4]КоэфРГК!$A$23:$A$32</definedName>
    <definedName name="OBR_HL">[2]КоэфРГК!$A$19:$A$28</definedName>
    <definedName name="OBRU" localSheetId="7">[5]КоэфРГК!$A$39:$M$48</definedName>
    <definedName name="OBRU" localSheetId="0">[15]КоэфРГК!$A$39:$M$48</definedName>
    <definedName name="OBRU" localSheetId="4">[4]КоэфРГК!$A$39:$M$48</definedName>
    <definedName name="OBRU">[2]КоэфРГК!$A$33:$M$42</definedName>
    <definedName name="OBRU_HL" localSheetId="7">[5]КоэфРГК!$A$39:$A$48</definedName>
    <definedName name="OBRU_HL" localSheetId="0">[15]КоэфРГК!$A$39:$A$48</definedName>
    <definedName name="OBRU_HL" localSheetId="4">[4]КоэфРГК!$A$39:$A$48</definedName>
    <definedName name="OBRU_HL">[2]КоэфРГК!$A$33:$A$42</definedName>
    <definedName name="OMRM" localSheetId="7">[5]КоэфРГК!$A$214:$D$219</definedName>
    <definedName name="OMRM" localSheetId="0">[15]КоэфРГК!$A$214:$D$219</definedName>
    <definedName name="OMRM">[4]КоэфРГК!$A$214:$D$219</definedName>
    <definedName name="OMRM_NS" localSheetId="7">[5]КоэфРГК!$A$213:$B$213</definedName>
    <definedName name="OMRM_NS" localSheetId="0">[15]КоэфРГК!$A$213:$B$213</definedName>
    <definedName name="OMRM_NS">[4]КоэфРГК!$A$213:$B$213</definedName>
    <definedName name="Param">[14]РГК!$AD$22</definedName>
    <definedName name="Pidg">"Кнопка 2"</definedName>
    <definedName name="PIL" localSheetId="7">[5]КоэфРГК!$A$55:$M$64</definedName>
    <definedName name="PIL" localSheetId="0">[15]КоэфРГК!$A$55:$M$64</definedName>
    <definedName name="PIL" localSheetId="4">[4]КоэфРГК!$A$55:$M$64</definedName>
    <definedName name="PIL">[2]КоэфРГК!$A$47:$M$56</definedName>
    <definedName name="PIL_HL" localSheetId="7">[9]КоэфРГК!$A$47:$A$56</definedName>
    <definedName name="PIL_HL" localSheetId="0">[15]КоэфРГК!$A$55:$A$64</definedName>
    <definedName name="PIL_HL" localSheetId="4">[4]КоэфРГК!$A$55:$A$64</definedName>
    <definedName name="PIL_HL">[2]КоэфРГК!$A$47:$A$56</definedName>
    <definedName name="PND" localSheetId="7">[5]КоэфРГК!$A$160:$G$169</definedName>
    <definedName name="PND" localSheetId="0">[15]КоэфРГК!$A$160:$G$169</definedName>
    <definedName name="PND">[4]КоэфРГК!$A$160:$G$169</definedName>
    <definedName name="PND_HL" localSheetId="7">[5]КоэфРГК!$A$160:$A$169</definedName>
    <definedName name="PND_HL" localSheetId="0">[15]КоэфРГК!$A$160:$A$169</definedName>
    <definedName name="PND_HL">[4]КоэфРГК!$A$160:$A$169</definedName>
    <definedName name="RDNAME" localSheetId="7">[5]ЗР!$B$1:$F$1</definedName>
    <definedName name="RDNAME" localSheetId="0">[15]ЗР!$B$1:$F$1</definedName>
    <definedName name="RDNAME">[4]ЗР!$B$1:$F$1</definedName>
    <definedName name="rKV">Расчет!#REF!</definedName>
    <definedName name="rLisVo">Расчет!#REF!</definedName>
    <definedName name="rPl">Расчет!#REF!</definedName>
    <definedName name="rV">Расчет!#REF!</definedName>
    <definedName name="SPILP" localSheetId="7">[5]КоэфРГК!$A$140:$E$153</definedName>
    <definedName name="SPILP" localSheetId="0">[15]КоэфРГК!$A$140:$E$153</definedName>
    <definedName name="SPILP">[4]КоэфРГК!$A$140:$E$153</definedName>
    <definedName name="SPILP_HL" localSheetId="7">[5]КоэфРГК!$A$140:$A$153</definedName>
    <definedName name="SPILP_HL" localSheetId="0">[15]КоэфРГК!$A$140:$A$153</definedName>
    <definedName name="SPILP_HL">[4]КоэфРГК!$A$140:$A$153</definedName>
    <definedName name="SPLG" localSheetId="7">[5]КоэфРГК!$A$119:$M$128</definedName>
    <definedName name="SPLG" localSheetId="0">[15]КоэфРГК!$A$119:$M$128</definedName>
    <definedName name="SPLG">[4]КоэфРГК!$A$119:$M$128</definedName>
    <definedName name="SPLG_HL" localSheetId="7">[5]КоэфРГК!$A$119:$A$128</definedName>
    <definedName name="SPLG_HL" localSheetId="0">[15]КоэфРГК!$A$119:$A$128</definedName>
    <definedName name="SPLG_HL">[4]КоэфРГК!$A$119:$A$128</definedName>
    <definedName name="T_">"T_"</definedName>
    <definedName name="TEX" localSheetId="7">[9]КоэфРГК!$A$75:$M$84</definedName>
    <definedName name="TEX" localSheetId="0">[15]КоэфРГК!$A$87:$M$96</definedName>
    <definedName name="TEX" localSheetId="4">[4]КоэфРГК!$A$87:$M$96</definedName>
    <definedName name="TEX">[2]КоэфРГК!$A$75:$M$84</definedName>
    <definedName name="TEX_HL" localSheetId="7">[9]КоэфРГК!$A$75:$A$84</definedName>
    <definedName name="TEX_HL" localSheetId="0">[15]КоэфРГК!$A$87:$A$96</definedName>
    <definedName name="TEX_HL" localSheetId="4">[4]КоэфРГК!$A$87:$A$96</definedName>
    <definedName name="TEX_HL">[2]КоэфРГК!$A$75:$A$84</definedName>
    <definedName name="UmRab" localSheetId="7">[9]РГК!$B$5</definedName>
    <definedName name="UmRab" localSheetId="0">[9]РГК!$B$5</definedName>
    <definedName name="UmRab" localSheetId="4">[9]РГК!$B$5</definedName>
    <definedName name="UmRab">[2]РГК!$B$5</definedName>
    <definedName name="Vukon" localSheetId="7">OFFSET([9]Виконавец!$B$2,0,0,COUNTA([9]Виконавец!$B$2:$B$65533),COUNTA([9]Виконавец!$B$2:$IV$2))</definedName>
    <definedName name="Vukon" localSheetId="0">OFFSET([9]Виконавец!$B$2,0,0,COUNTA([9]Виконавец!$B$2:$B$65533),COUNTA([9]Виконавец!$B$2:$IV$2))</definedName>
    <definedName name="Vukon" localSheetId="4">OFFSET([9]Виконавец!$B$2,0,0,COUNTA([9]Виконавец!$B$2:$B$65533),COUNTA([9]Виконавец!$B$2:$IV$2))</definedName>
    <definedName name="Vukon">OFFSET([2]Виконавец!$B$2,0,0,COUNTA([2]Виконавец!$B$2:$B$65533),COUNTA([2]Виконавец!$B$2:$IV$2))</definedName>
    <definedName name="vukonsokr" localSheetId="7">OFFSET([9]Виконавец!$A$2,0,0,COUNTA([9]Виконавец!$A$2:$A$65533),1)</definedName>
    <definedName name="vukonsokr" localSheetId="0">OFFSET([9]Виконавец!$A$2,0,0,COUNTA([9]Виконавец!$A$2:$A$65533),1)</definedName>
    <definedName name="vukonsokr" localSheetId="4">OFFSET([9]Виконавец!$A$2,0,0,COUNTA([9]Виконавец!$A$2:$A$65533),1)</definedName>
    <definedName name="vukonsokr">OFFSET([2]Виконавец!$A$2,0,0,COUNTA([2]Виконавец!$A$2:$A$65533),1)</definedName>
    <definedName name="vСокрВикон" localSheetId="7">OFFSET([9]Виконавец!$A$2,0,0,COUNTA([9]Виконавец!$A$1:$A$65533),1)</definedName>
    <definedName name="vСокрВикон" localSheetId="0">OFFSET([9]Виконавец!$A$2,0,0,COUNTA([9]Виконавец!$A$1:$A$65533),1)</definedName>
    <definedName name="vСокрВикон" localSheetId="4">OFFSET([9]Виконавец!$A$2,0,0,COUNTA([9]Виконавец!$A$1:$A$65533),1)</definedName>
    <definedName name="vСокрВикон">OFFSET([2]Виконавец!$A$2,0,0,COUNTA([2]Виконавец!$A$1:$A$65533),1)</definedName>
    <definedName name="vТабВикон" localSheetId="7">OFFSET([9]Виконавец!$A$1,0,0,COUNTA([9]Виконавец!$A$1:$A$65533),COUNTA([9]Виконавец!$A$1:$IU$1))</definedName>
    <definedName name="vТабВикон" localSheetId="0">OFFSET([9]Виконавец!$A$1,0,0,COUNTA([9]Виконавец!$A$1:$A$65533),COUNTA([9]Виконавец!$A$1:$IU$1))</definedName>
    <definedName name="vТабВикон" localSheetId="4">OFFSET([9]Виконавец!$A$1,0,0,COUNTA([9]Виконавец!$A$1:$A$65533),COUNTA([9]Виконавец!$A$1:$IU$1))</definedName>
    <definedName name="vТабВикон">OFFSET([2]Виконавец!$A$1,0,0,COUNTA([2]Виконавец!$A$1:$A$65533),COUNTA([2]Виконавец!$A$1:$IU$1))</definedName>
    <definedName name="ZACH" localSheetId="7">[9]КоэфРГК!$A$102:$E$111</definedName>
    <definedName name="ZACH" localSheetId="0">[15]КоэфРГК!$A$180:$E$189</definedName>
    <definedName name="ZACH" localSheetId="4">[4]КоэфРГК!$A$180:$E$189</definedName>
    <definedName name="ZACH">[2]КоэфРГК!$A$102:$E$111</definedName>
    <definedName name="ZACH_HL" localSheetId="7">[9]КоэфРГК!$A$102:$A$111</definedName>
    <definedName name="ZACH_HL" localSheetId="0">[15]КоэфРГК!$A$180:$A$189</definedName>
    <definedName name="ZACH_HL" localSheetId="4">[4]КоэфРГК!$A$180:$A$189</definedName>
    <definedName name="ZACH_HL">[2]КоэфРГК!$A$102:$A$111</definedName>
    <definedName name="ZKK" localSheetId="7">[5]КоэфРГК!$A$201:$G$206</definedName>
    <definedName name="ZKK" localSheetId="0">[15]КоэфРГК!$A$201:$G$206</definedName>
    <definedName name="ZKK">[4]КоэфРГК!$A$201:$F$206</definedName>
    <definedName name="ZKK_NS" localSheetId="7">[5]КоэфРГК!$A$200:$C$200</definedName>
    <definedName name="ZKK_NS" localSheetId="0">[15]КоэфРГК!$A$200:$C$200</definedName>
    <definedName name="ZKK_NS">[4]КоэфРГК!$A$200:$C$200</definedName>
    <definedName name="ZV" localSheetId="7">[9]КоэфРГК!$A$5:$M$14</definedName>
    <definedName name="ZV" localSheetId="0">[9]КоэфРГК!$A$5:$M$14</definedName>
    <definedName name="ZV" localSheetId="4">[9]КоэфРГК!$A$5:$M$14</definedName>
    <definedName name="ZV">[2]КоэфРГК!$A$5:$M$14</definedName>
    <definedName name="ZV_HL" localSheetId="7">[9]КоэфРГК!$A$5:$A$14</definedName>
    <definedName name="ZV_HL" localSheetId="0">[9]КоэфРГК!$A$5:$A$14</definedName>
    <definedName name="ZV_HL" localSheetId="4">[9]КоэфРГК!$A$5:$A$14</definedName>
    <definedName name="ZV_HL">[2]КоэфРГК!$A$5:$A$14</definedName>
    <definedName name="ZVZP" localSheetId="7">[5]КоэфРГК!$A$7:$M$16</definedName>
    <definedName name="ZVZP" localSheetId="0">[15]КоэфРГК!$A$7:$M$16</definedName>
    <definedName name="ZVZP">[4]КоэфРГК!$A$7:$M$16</definedName>
    <definedName name="ZVZP_HL" localSheetId="7">[5]КоэфРГК!$A$7:$A$16</definedName>
    <definedName name="ZVZP_HL" localSheetId="0">[15]КоэфРГК!$A$7:$A$16</definedName>
    <definedName name="ZVZP_HL">[4]КоэфРГК!$A$7:$A$16</definedName>
    <definedName name="ZVZP_VM" localSheetId="7">[5]КоэфРГК!$B$4:$M$4</definedName>
    <definedName name="ZVZP_VM" localSheetId="0">[15]КоэфРГК!$B$4:$M$4</definedName>
    <definedName name="ZVZP_VM">[4]КоэфРГК!$B$4:$M$4</definedName>
    <definedName name="АДДРЕССИМЯ" comment="Возвращает адресс именованного диапазон переданого в ячейке слева">ADDRESS(ROW(INDIRECT('РГК_кошторис (2)'!XEI1048576)),COLUMN(INDIRECT('РГК_кошторис (2)'!XEI1048576)))&amp;":"&amp;ADDRESS(ROW(INDIRECT('РГК_кошторис (2)'!XEI1048576))+ROW(INDIRECT('РГК_кошторис (2)'!XEI1048576))-1,COLUMN(INDIRECT('РГК_кошторис (2)'!XEI1048576))+COLUMN(INDIRECT('РГК_кошторис (2)'!XEI1048576))-1)</definedName>
    <definedName name="вибмассахворост" localSheetId="7">#REF!</definedName>
    <definedName name="вибмассахворост" localSheetId="0">#REF!</definedName>
    <definedName name="вибмассахворост" localSheetId="4">#REF!</definedName>
    <definedName name="вибмассахворост">[2]КоєфМолодняк!$F$2:$F$7</definedName>
    <definedName name="вибмасХмызМяк" localSheetId="7">#REF!</definedName>
    <definedName name="вибмасХмызМяк" localSheetId="0">#REF!</definedName>
    <definedName name="вибмасХмызМяк" localSheetId="4">#REF!</definedName>
    <definedName name="вибмасХмызМяк">[2]КоєфМолодняк!$A$2:$A$7</definedName>
    <definedName name="ВидШаблона" localSheetId="7">OFFSET(#REF!,0,0,COUNTA(#REF!),1)</definedName>
    <definedName name="ВидШаблона" localSheetId="0">OFFSET(#REF!,0,0,COUNTA(#REF!),1)</definedName>
    <definedName name="ВидШаблона" localSheetId="4">OFFSET(#REF!,0,0,COUNTA(#REF!),1)</definedName>
    <definedName name="ВидШаблона">OFFSET('[2]Назва Рубки'!$B$2,0,0,COUNTA('[2]Назва Рубки'!$B$2:$B$65535),1)</definedName>
    <definedName name="Вирубування">[14]КоэфРГК!$I$231:$I$232</definedName>
    <definedName name="ВідРубки" localSheetId="1">OFFSET('[3]Назва Рубки'!$A$2,0,0,COUNTA('[3]Назва Рубки'!$A$2:$A$65535),1)</definedName>
    <definedName name="ВідРубки" localSheetId="7">OFFSET(#REF!,0,0,COUNTA(#REF!),1)</definedName>
    <definedName name="ВідРубки" localSheetId="3">OFFSET('[3]Назва Рубки'!$A$2,0,0,COUNTA('[3]Назва Рубки'!$A$2:$A$65535),1)</definedName>
    <definedName name="ВідРубки" localSheetId="0">OFFSET('[3]Назва Рубки'!$A$2,0,0,COUNTA('[3]Назва Рубки'!$A$2:$A$65535),1)</definedName>
    <definedName name="ВідРубки" localSheetId="2">OFFSET('[3]Назва Рубки'!$A$2,0,0,COUNTA('[3]Назва Рубки'!$A$2:$A$65535),1)</definedName>
    <definedName name="ВідРубки" localSheetId="4">OFFSET(#REF!,0,0,COUNTA(#REF!),1)</definedName>
    <definedName name="ВідРубки">OFFSET('[2]Назва Рубки'!$A$2,0,0,COUNTA('[2]Назва Рубки'!$A$2:$A$65535),1)</definedName>
    <definedName name="ВідШаблона" localSheetId="1">'[10]Назва Рубки'!$B$2:$B$4</definedName>
    <definedName name="ВідШаблона" localSheetId="7">#REF!</definedName>
    <definedName name="ВідШаблона" localSheetId="3">'[10]Назва Рубки'!$B$2:$B$4</definedName>
    <definedName name="ВідШаблона" localSheetId="0">'[10]Назва Рубки'!$B$2:$B$4</definedName>
    <definedName name="ВідШаблона" localSheetId="2">'[10]Назва Рубки'!$B$2:$B$4</definedName>
    <definedName name="ВідШаблона" localSheetId="4">#REF!</definedName>
    <definedName name="ВідШаблона">'[2]Назва Рубки'!$B$2:$B$4</definedName>
    <definedName name="ДЛГ" localSheetId="7">OFFSET(#REF!,0,0,COUNTA(#REF!),COUNTA(#REF!))</definedName>
    <definedName name="ДЛГ" localSheetId="0">OFFSET(#REF!,0,0,COUNTA(#REF!),COUNTA(#REF!))</definedName>
    <definedName name="ДЛГ" localSheetId="4">OFFSET(#REF!,0,0,COUNTA(#REF!),COUNTA(#REF!))</definedName>
    <definedName name="ДЛГ">OFFSET([2]ДЛГ!$A$1,0,0,COUNTA([2]ДЛГ!$A$1:$A$65535),COUNTA([2]ДЛГ!$A$1:$IU$1))</definedName>
    <definedName name="Документы" localSheetId="7">OFFSET(#REF!,0,0,COUNTA(#REF!),1)</definedName>
    <definedName name="Документы" localSheetId="0">OFFSET(#REF!,0,0,COUNTA(#REF!),1)</definedName>
    <definedName name="Документы" localSheetId="4">OFFSET(#REF!,0,0,COUNTA(#REF!),1)</definedName>
    <definedName name="Документы">OFFSET('[2]Назва Рубки'!$N$2,0,0,COUNTA('[2]Назва Рубки'!$N$2:$N$65535),1)</definedName>
    <definedName name="Знач1">Форма!$B$126</definedName>
    <definedName name="Знач10">Форма!$B$135</definedName>
    <definedName name="Знач11">Форма!$B$136</definedName>
    <definedName name="Знач12">Форма!$B$137</definedName>
    <definedName name="Знач2">Форма!$B$127</definedName>
    <definedName name="Знач3">Форма!$B$128</definedName>
    <definedName name="Знач4">Форма!$B$129</definedName>
    <definedName name="Знач5">Форма!$B$130</definedName>
    <definedName name="Знач6">Форма!$B$131</definedName>
    <definedName name="Знач7">Форма!$B$132</definedName>
    <definedName name="Знач8">Форма!$B$133</definedName>
    <definedName name="Знач9">Форма!$B$134</definedName>
    <definedName name="Зона" localSheetId="1">[10]Коєфициент!$F$2:$F$6</definedName>
    <definedName name="Зона" localSheetId="7">[9]Коєфициент!$F$2:$F$6</definedName>
    <definedName name="Зона" localSheetId="3">[10]Коєфициент!$F$2:$F$6</definedName>
    <definedName name="Зона" localSheetId="0">[10]Коєфициент!$F$2:$F$6</definedName>
    <definedName name="Зона" localSheetId="2">[10]Коєфициент!$F$2:$F$6</definedName>
    <definedName name="Зона" localSheetId="4" hidden="1">[4]Коєфициент!$F$2:$F$6</definedName>
    <definedName name="Зона">[2]Коєфициент!$F$2:$F$6</definedName>
    <definedName name="ККЗ">1.215</definedName>
    <definedName name="Коєф_ент_Граба" localSheetId="7">#REF!</definedName>
    <definedName name="Коєф_ент_Граба" localSheetId="0">#REF!</definedName>
    <definedName name="Коєф_ент_Граба" localSheetId="4">#REF!</definedName>
    <definedName name="Коєф_ент_Граба">[2]Константы!$B$2</definedName>
    <definedName name="КолКопи" localSheetId="7">OFFSET([9]Коєфициент!$H$2,0,0,COUNTA([9]Коєфициент!$H$2:$H$65535),1)</definedName>
    <definedName name="КолКопи" localSheetId="0">OFFSET([9]Коєфициент!$H$2,0,0,COUNTA([9]Коєфициент!$H$2:$H$65535),1)</definedName>
    <definedName name="КолКопи" localSheetId="4">OFFSET([9]Коєфициент!$H$2,0,0,COUNTA([9]Коєфициент!$H$2:$H$65535),1)</definedName>
    <definedName name="КолКопи">OFFSET([2]Коєфициент!$H$2,0,0,COUNTA([2]Коєфициент!$H$2:$H$65535),1)</definedName>
    <definedName name="КоэфСхилу" localSheetId="7">OFFSET([9]Коєфициент!$I$2,0,0,COUNTA([9]Коєфициент!$I$2:$I$65535),1)</definedName>
    <definedName name="КоэфСхилу" localSheetId="0">OFFSET([9]Коєфициент!$I$2,0,0,COUNTA([9]Коєфициент!$I$2:$I$65535),1)</definedName>
    <definedName name="КоэфСхилу" localSheetId="4">OFFSET([9]Коєфициент!$I$2,0,0,COUNTA([9]Коєфициент!$I$2:$I$65535),1)</definedName>
    <definedName name="КоэфСхилу">OFFSET([2]Коєфициент!$I$2,0,0,COUNTA([2]Коєфициент!$I$2:$I$65535),1)</definedName>
    <definedName name="ЛистМеню" localSheetId="9">ЛистМеню!A$2:A$27</definedName>
    <definedName name="ЛісВа" localSheetId="1">OFFSET([10]Лісництва!$B$2,0,0,COUNTA([10]Лісництва!$B$2:$B$65535),1)</definedName>
    <definedName name="ЛісВа" localSheetId="7">OFFSET([9]Лісництва!$B$2,0,0,COUNTA([9]Лісництва!$B$2:$B$65535),1)</definedName>
    <definedName name="ЛісВа" localSheetId="3">OFFSET([10]Лісництва!$B$2,0,0,COUNTA([10]Лісництва!$B$2:$B$65535),1)</definedName>
    <definedName name="ЛісВа" localSheetId="0">OFFSET([10]Лісництва!$B$2,0,0,COUNTA([10]Лісництва!$B$2:$B$65535),1)</definedName>
    <definedName name="ЛісВа" localSheetId="2">OFFSET([10]Лісництва!$B$2,0,0,COUNTA([10]Лісництва!$B$2:$B$65535),1)</definedName>
    <definedName name="ЛісВа" localSheetId="4" hidden="1">OFFSET([4]Лісництва!$B$2,0,0,COUNTA([4]Лісництва!$B$2:$B$65535),1)</definedName>
    <definedName name="ЛісВа" localSheetId="21">OFFSET([2]Лісництва!$B$2,0,0,COUNTA([2]Лісництва!$B$2:$B$65535),1)</definedName>
    <definedName name="ЛісВа">OFFSET(Лісництва!$A$2,0,0,COUNTA(Лісництва!$J$2:$J$65535),1)</definedName>
    <definedName name="ЛісВаНумерация" localSheetId="7">OFFSET([9]Лісництва!$C$2,0,0,COUNTA([9]Лісництва!$C$2:$C$65535),1)</definedName>
    <definedName name="ЛісВаНумерация" localSheetId="0">OFFSET([15]Лісництва!$C$2,0,0,COUNTA([15]Лісництва!$C$2:$C$65535),1)</definedName>
    <definedName name="ЛісВаНумерация" localSheetId="4">OFFSET([4]Лісництва!$C$2,0,0,COUNTA([4]Лісництва!$C$2:$C$65535),1)</definedName>
    <definedName name="ЛісВаНумерация" localSheetId="21">OFFSET([2]Лісництва!$C$2,0,0,COUNTA([2]Лісництва!$C$2:$C$65535),1)</definedName>
    <definedName name="ЛісВаНумерация">OFFSET(Лісництва!$I$2,0,0,COUNTA(Лісництва!$C$2:$C$65535),1)</definedName>
    <definedName name="ЛК" localSheetId="7">OFFSET([5]ЛК!E1,0,0,COUNTA([5]ЛК!E1:E96),1)</definedName>
    <definedName name="ЛК" localSheetId="0">OFFSET([15]ЛК!E1,0,0,COUNTA([15]ЛК!E1:E96),1)</definedName>
    <definedName name="ЛК">OFFSET([4]ЛК!E1,0,0,COUNTA([4]ЛК!E1:E96),1)</definedName>
    <definedName name="Месяца" localSheetId="10">OFFSET(Месяца!$A$1,0,0,COUNTA(Месяца!$A$1:$A$65535),COUNTA(Месяца!$A$1:$IU$1))</definedName>
    <definedName name="_xlnm.Print_Area" localSheetId="7">Расчет!#REF!</definedName>
    <definedName name="ОбщСтажТекст" localSheetId="7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0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4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>INT(ОбщСтаж/365) &amp; " р " &amp; INT((ОбщСтаж-INT(ОбщСтаж/365)*365)/30) &amp; " м "&amp; ОбщСтаж-INT(ОбщСтаж/365)*365-INT((ОбщСтаж-INT(ОбщСтаж/365)*365)/30)*30 &amp; " дн "</definedName>
    <definedName name="Освітлення" localSheetId="7">#REF!</definedName>
    <definedName name="Освітлення" localSheetId="0">#REF!</definedName>
    <definedName name="Освітлення" localSheetId="4">#REF!</definedName>
    <definedName name="Освітлення">#REF!</definedName>
    <definedName name="Підріст">[14]КоэфРГК!$H$231:$H$233</definedName>
    <definedName name="Порода" localSheetId="7">OFFSET(#REF!,0,0,COUNTA(#REF!),1)</definedName>
    <definedName name="Порода" localSheetId="0">OFFSET(#REF!,0,0,COUNTA(#REF!),1)</definedName>
    <definedName name="Порода" localSheetId="4">OFFSET(#REF!,0,0,COUNTA(#REF!),1)</definedName>
    <definedName name="Порода">OFFSET([2]Порода!$F$2,0,0,COUNTA([2]Порода!$F$2:$F$65535),1)</definedName>
    <definedName name="ПридупредитьЗа">10</definedName>
    <definedName name="Расширение_Техкарта">Форма!$H$31</definedName>
    <definedName name="РядТемп" localSheetId="7">{1,1,1,1,1,1,1,1,1,1,1,1,1,1,1,1}</definedName>
    <definedName name="РядТемп" localSheetId="0">{1,1,1,1,1,1,1,1,1,1,1,1,1,1,1,1}</definedName>
    <definedName name="РядТемп" localSheetId="4">{1,1,1,1,1,1,1,1,1,1,1,1,1,1,1,1}</definedName>
    <definedName name="РядТемп">{1,1,1,1,1,1,1,1,1,1,1,1,1,1,1,1}</definedName>
    <definedName name="сPlocha" localSheetId="7">#REF!</definedName>
    <definedName name="сPlocha" localSheetId="0">#REF!</definedName>
    <definedName name="сPlocha" localSheetId="4">#REF!</definedName>
    <definedName name="сPlocha">[2]Константы!$B$22</definedName>
    <definedName name="сокрЛісВа">Лісництва!$A$2:$B$7</definedName>
    <definedName name="СортШтабМП" localSheetId="7">#REF!</definedName>
    <definedName name="СортШтабМП" localSheetId="0">#REF!</definedName>
    <definedName name="СортШтабМП" localSheetId="4">#REF!</definedName>
    <definedName name="СортШтабМП">[2]Константы!$B$4</definedName>
    <definedName name="СортШтабТП" localSheetId="7">#REF!</definedName>
    <definedName name="СортШтабТП" localSheetId="0">#REF!</definedName>
    <definedName name="СортШтабТП" localSheetId="4">#REF!</definedName>
    <definedName name="СортШтабТП">[2]Константы!$B$3</definedName>
    <definedName name="Стоимость_бутылки_Чернигов">0.36</definedName>
    <definedName name="Столбчик">Лісництва!$J$2:$J$30</definedName>
    <definedName name="Сума_Договір">Форма!$B$72</definedName>
    <definedName name="табДатаТарифы" localSheetId="7" hidden="1">OFFSET([9]Тарифи!$A$2,0,0,COUNTA([9]Тарифи!$A$2:$A$65533),1)</definedName>
    <definedName name="табДатаТарифы" localSheetId="0" hidden="1">OFFSET([9]Тарифи!$A$2,0,0,COUNTA([9]Тарифи!$A$2:$A$65533),1)</definedName>
    <definedName name="табДатаТарифы" localSheetId="4" hidden="1">OFFSET([9]Тарифи!$A$2,0,0,COUNTA([9]Тарифи!$A$2:$A$65533),1)</definedName>
    <definedName name="табДатаТарифы">OFFSET([2]Тарифи!$A$2,0,0,COUNTA([2]Тарифи!$A$2:$A$65533),1)</definedName>
    <definedName name="табКоефРоз" localSheetId="1">[10]Коєфициент!$C$2:$C$16</definedName>
    <definedName name="табКоефРоз" localSheetId="7">[9]Коєфициент!$C$2:$C$16</definedName>
    <definedName name="табКоефРоз" localSheetId="3">[10]Коєфициент!$C$2:$C$16</definedName>
    <definedName name="табКоефРоз" localSheetId="0">[10]Коєфициент!$C$2:$C$16</definedName>
    <definedName name="табКоефРоз" localSheetId="2">[10]Коєфициент!$C$2:$C$16</definedName>
    <definedName name="табКоефРоз" localSheetId="4">[4]Коєфициент!$C$2:$C$16</definedName>
    <definedName name="табКоефРоз">[2]Коєфициент!$C$2:$C$16</definedName>
    <definedName name="табКоефЧерн" localSheetId="1">[10]Коєфициент!$F$2:$G$6</definedName>
    <definedName name="табКоефЧерн" localSheetId="7">[9]Коєфициент!$F$2:$G$6</definedName>
    <definedName name="табКоефЧерн" localSheetId="3">[10]Коєфициент!$F$2:$G$6</definedName>
    <definedName name="табКоефЧерн" localSheetId="0">[10]Коєфициент!$F$2:$G$6</definedName>
    <definedName name="табКоефЧерн" localSheetId="2">[10]Коєфициент!$F$2:$G$6</definedName>
    <definedName name="табКоефЧерн">[2]Коєфициент!$F$2:$G$6</definedName>
    <definedName name="табНормаВироб" localSheetId="1">[10]Коєфициент!$B$2:$B$16</definedName>
    <definedName name="табНормаВироб" localSheetId="7">[9]Коєфициент!$B$2:$B$16</definedName>
    <definedName name="табНормаВироб" localSheetId="3">[10]Коєфициент!$B$2:$B$16</definedName>
    <definedName name="табНормаВироб" localSheetId="0">[10]Коєфициент!$B$2:$B$16</definedName>
    <definedName name="табНормаВироб" localSheetId="2">[10]Коєфициент!$B$2:$B$16</definedName>
    <definedName name="табНормаВироб" localSheetId="4">[4]Коєфициент!$B$2:$B$16</definedName>
    <definedName name="табНормаВироб">[2]Коєфициент!$B$2:$B$16</definedName>
    <definedName name="табРозВисот" localSheetId="1">[10]Коєфициент!$A$2:$A$16</definedName>
    <definedName name="табРозВисот" localSheetId="7">[9]Коєфициент!$A$2:$A$16</definedName>
    <definedName name="табРозВисот" localSheetId="3">[10]Коєфициент!$A$2:$A$16</definedName>
    <definedName name="табРозВисот" localSheetId="0">[10]Коєфициент!$A$2:$A$16</definedName>
    <definedName name="табРозВисот" localSheetId="2">[10]Коєфициент!$A$2:$A$16</definedName>
    <definedName name="табРозВисот" localSheetId="4">[4]Коєфициент!$A$2:$A$16</definedName>
    <definedName name="табРозВисот">[2]Коєфициент!$A$2:$A$16</definedName>
    <definedName name="табУмовиРоботи" localSheetId="1">[10]Константы!$B$5:$C$5</definedName>
    <definedName name="табУмовиРоботи" localSheetId="7" hidden="1">#REF!</definedName>
    <definedName name="табУмовиРоботи" localSheetId="3">[10]Константы!$B$5:$C$5</definedName>
    <definedName name="табУмовиРоботи" localSheetId="0">[10]Константы!$B$5:$C$5</definedName>
    <definedName name="табУмовиРоботи" localSheetId="2">[10]Константы!$B$5:$C$5</definedName>
    <definedName name="табУмовиРоботи" localSheetId="4" hidden="1">#REF!</definedName>
    <definedName name="табУмовиРоботи">[2]Константы!$B$5:$C$5</definedName>
    <definedName name="табХворост" localSheetId="7">#REF!</definedName>
    <definedName name="табХворост" localSheetId="0">#REF!</definedName>
    <definedName name="табХворост" localSheetId="4">#REF!</definedName>
    <definedName name="табХворост">[2]КоєфМолодняк!$F$1:$M$7</definedName>
    <definedName name="табХмызМяк" localSheetId="7">#REF!</definedName>
    <definedName name="табХмызМяк" localSheetId="0">#REF!</definedName>
    <definedName name="табХмызМяк" localSheetId="4">#REF!</definedName>
    <definedName name="табХмызМяк">[2]КоєфМолодняк!$A$2:$E$7</definedName>
    <definedName name="Тарифи1" localSheetId="7">OFFSET([9]Тарифи!$A$1,0,0,COUNTA([9]Тарифи!$A$1:$A$65533),COUNTA([9]Тарифи!$A$1:$IS$1))</definedName>
    <definedName name="Тарифи1" localSheetId="0">OFFSET([9]Тарифи!$A$1,0,0,COUNTA([9]Тарифи!$A$1:$A$65533),COUNTA([9]Тарифи!$A$1:$IS$1))</definedName>
    <definedName name="Тарифи1" localSheetId="4">OFFSET([9]Тарифи!$A$1,0,0,COUNTA([9]Тарифи!$A$1:$A$65533),COUNTA([9]Тарифи!$A$1:$IS$1))</definedName>
    <definedName name="Тарифи1">OFFSET([2]Тарифи!$A$1,0,0,COUNTA([2]Тарифи!$A$1:$A$65533),COUNTA([2]Тарифи!$A$1:$IS$1))</definedName>
    <definedName name="Техкарта">Форма!$G$31</definedName>
    <definedName name="ТЕХНІЧНЕ_ЗАВДАННЯ">'РГК_кошторис (2)'!$A$48:$H$61</definedName>
    <definedName name="умДатаТарифы" localSheetId="1">[3]Константы!$B$6</definedName>
    <definedName name="умДатаТарифы" localSheetId="7">#REF!</definedName>
    <definedName name="умДатаТарифы" localSheetId="3">[3]Константы!$B$6</definedName>
    <definedName name="умДатаТарифы" localSheetId="0">[3]Константы!$B$6</definedName>
    <definedName name="умДатаТарифы" localSheetId="2">[3]Константы!$B$6</definedName>
    <definedName name="умДатаТарифы" localSheetId="4">#REF!</definedName>
    <definedName name="умДатаТарифы">[2]Константы!$B$6</definedName>
    <definedName name="Ч_б">0.36</definedName>
  </definedNames>
  <calcPr calcId="145621"/>
</workbook>
</file>

<file path=xl/calcChain.xml><?xml version="1.0" encoding="utf-8"?>
<calcChain xmlns="http://schemas.openxmlformats.org/spreadsheetml/2006/main">
  <c r="I10" i="107" l="1"/>
  <c r="H35" i="107" s="1"/>
  <c r="I5" i="107"/>
  <c r="H34" i="107" s="1"/>
  <c r="V61" i="110"/>
  <c r="U61" i="110"/>
  <c r="T61" i="110"/>
  <c r="S61" i="110"/>
  <c r="U60" i="110"/>
  <c r="T60" i="110"/>
  <c r="S60" i="110"/>
  <c r="U59" i="110"/>
  <c r="T59" i="110"/>
  <c r="S59" i="110"/>
  <c r="U58" i="110"/>
  <c r="T58" i="110"/>
  <c r="S58" i="110"/>
  <c r="U57" i="110"/>
  <c r="T57" i="110"/>
  <c r="S57" i="110"/>
  <c r="U56" i="110"/>
  <c r="T56" i="110"/>
  <c r="S56" i="110"/>
  <c r="U55" i="110"/>
  <c r="T55" i="110"/>
  <c r="S55" i="110"/>
  <c r="T54" i="110"/>
  <c r="S54" i="110"/>
  <c r="U53" i="110"/>
  <c r="T53" i="110"/>
  <c r="S53" i="110"/>
  <c r="U52" i="110"/>
  <c r="T52" i="110"/>
  <c r="S52" i="110"/>
  <c r="U51" i="110"/>
  <c r="T51" i="110"/>
  <c r="S51" i="110"/>
  <c r="U50" i="110"/>
  <c r="T50" i="110"/>
  <c r="S50" i="110"/>
  <c r="V49" i="110"/>
  <c r="T49" i="110"/>
  <c r="S49" i="110"/>
  <c r="G42" i="110"/>
  <c r="H40" i="110"/>
  <c r="H42" i="110" s="1"/>
  <c r="BD23" i="110"/>
  <c r="L23" i="110"/>
  <c r="BD22" i="110"/>
  <c r="L22" i="110"/>
  <c r="AU21" i="110"/>
  <c r="AS21" i="110"/>
  <c r="AU20" i="110"/>
  <c r="W19" i="110"/>
  <c r="W21" i="110" s="1"/>
  <c r="AU18" i="110"/>
  <c r="AN16" i="110"/>
  <c r="AO16" i="110" s="1"/>
  <c r="AN15" i="110"/>
  <c r="AO15" i="110" s="1"/>
  <c r="AN14" i="110"/>
  <c r="AO14" i="110" s="1"/>
  <c r="H14" i="110"/>
  <c r="H58" i="110" s="1"/>
  <c r="V58" i="110" s="1"/>
  <c r="AN13" i="110"/>
  <c r="AO13" i="110" s="1"/>
  <c r="AN12" i="110"/>
  <c r="AO12" i="110" s="1"/>
  <c r="AN11" i="110"/>
  <c r="AO11" i="110" s="1"/>
  <c r="AN10" i="110"/>
  <c r="AO10" i="110" s="1"/>
  <c r="AJ10" i="110"/>
  <c r="AA10" i="110"/>
  <c r="O10" i="110"/>
  <c r="M10" i="110"/>
  <c r="AN9" i="110"/>
  <c r="AO9" i="110" s="1"/>
  <c r="H9" i="110"/>
  <c r="H53" i="110" s="1"/>
  <c r="V53" i="110" s="1"/>
  <c r="AN8" i="110"/>
  <c r="AO8" i="110" s="1"/>
  <c r="AN7" i="110"/>
  <c r="AO7" i="110" s="1"/>
  <c r="AX6" i="110"/>
  <c r="AN6" i="110"/>
  <c r="AO6" i="110" s="1"/>
  <c r="AM6" i="110"/>
  <c r="AU5" i="110"/>
  <c r="BB3" i="110"/>
  <c r="BA3" i="110"/>
  <c r="AZ3" i="110"/>
  <c r="J61" i="110"/>
  <c r="J53" i="110"/>
  <c r="J52" i="110"/>
  <c r="J51" i="110"/>
  <c r="J50" i="110"/>
  <c r="Z23" i="110"/>
  <c r="AM21" i="110"/>
  <c r="AQ20" i="110"/>
  <c r="AV16" i="110"/>
  <c r="AR16" i="110"/>
  <c r="AZ16" i="110" s="1"/>
  <c r="R16" i="110"/>
  <c r="AQ15" i="110"/>
  <c r="AV14" i="110"/>
  <c r="AR14" i="110"/>
  <c r="AZ14" i="110" s="1"/>
  <c r="J60" i="110"/>
  <c r="J59" i="110"/>
  <c r="J58" i="110"/>
  <c r="J57" i="110"/>
  <c r="J56" i="110"/>
  <c r="J55" i="110"/>
  <c r="J54" i="110"/>
  <c r="J49" i="110"/>
  <c r="AM20" i="110"/>
  <c r="AY16" i="110"/>
  <c r="AT16" i="110"/>
  <c r="AQ16" i="110"/>
  <c r="AV15" i="110"/>
  <c r="AR15" i="110"/>
  <c r="AT15" i="110" s="1"/>
  <c r="R15" i="110"/>
  <c r="AY14" i="110"/>
  <c r="AT14" i="110"/>
  <c r="AQ14" i="110"/>
  <c r="AV13" i="110"/>
  <c r="AR13" i="110"/>
  <c r="AZ13" i="110" s="1"/>
  <c r="R13" i="110"/>
  <c r="AQ12" i="110"/>
  <c r="AY13" i="110"/>
  <c r="AQ13" i="110"/>
  <c r="AV12" i="110"/>
  <c r="AY12" i="110" s="1"/>
  <c r="AV11" i="110"/>
  <c r="AR11" i="110"/>
  <c r="AZ11" i="110" s="1"/>
  <c r="R11" i="110"/>
  <c r="AQ10" i="110"/>
  <c r="AQ9" i="110"/>
  <c r="AV8" i="110"/>
  <c r="AR8" i="110"/>
  <c r="AZ8" i="110" s="1"/>
  <c r="R8" i="110"/>
  <c r="AQ7" i="110"/>
  <c r="BA6" i="110"/>
  <c r="AV6" i="110"/>
  <c r="AY6" i="110" s="1"/>
  <c r="AR6" i="110"/>
  <c r="R14" i="110"/>
  <c r="AT13" i="110"/>
  <c r="AR12" i="110"/>
  <c r="R12" i="110"/>
  <c r="AY11" i="110"/>
  <c r="AT11" i="110"/>
  <c r="AQ11" i="110"/>
  <c r="AV10" i="110"/>
  <c r="AR10" i="110"/>
  <c r="AT10" i="110" s="1"/>
  <c r="AV9" i="110"/>
  <c r="AR9" i="110"/>
  <c r="AT9" i="110" s="1"/>
  <c r="R9" i="110"/>
  <c r="AY8" i="110"/>
  <c r="AT8" i="110"/>
  <c r="AQ8" i="110"/>
  <c r="AV7" i="110"/>
  <c r="AR7" i="110"/>
  <c r="AT7" i="110" s="1"/>
  <c r="R7" i="110"/>
  <c r="AZ6" i="110"/>
  <c r="AT6" i="110"/>
  <c r="AQ6" i="110"/>
  <c r="R6" i="110"/>
  <c r="R5" i="110"/>
  <c r="AU4" i="110"/>
  <c r="AX2" i="110"/>
  <c r="AV4" i="110"/>
  <c r="AZ15" i="110"/>
  <c r="AY15" i="110"/>
  <c r="AZ12" i="110"/>
  <c r="AT12" i="110"/>
  <c r="AZ10" i="110"/>
  <c r="AY10" i="110"/>
  <c r="AZ9" i="110"/>
  <c r="AY9" i="110"/>
  <c r="AZ7" i="110"/>
  <c r="AY7" i="110"/>
  <c r="H36" i="107" l="1"/>
  <c r="I17" i="107"/>
  <c r="H17" i="107" s="1"/>
  <c r="AA14" i="110"/>
  <c r="AW4" i="110"/>
  <c r="AA9" i="110"/>
  <c r="H7" i="110"/>
  <c r="H51" i="110" s="1"/>
  <c r="V51" i="110" s="1"/>
  <c r="H6" i="110"/>
  <c r="H50" i="110" s="1"/>
  <c r="V50" i="110" s="1"/>
  <c r="AA7" i="110" l="1"/>
  <c r="AA6" i="110"/>
  <c r="H38" i="107"/>
  <c r="H8" i="110" l="1"/>
  <c r="H52" i="110" l="1"/>
  <c r="V52" i="110" s="1"/>
  <c r="AA8" i="110"/>
  <c r="H11" i="110" l="1"/>
  <c r="H12" i="110"/>
  <c r="H13" i="110"/>
  <c r="H15" i="110"/>
  <c r="H59" i="110" l="1"/>
  <c r="V59" i="110" s="1"/>
  <c r="AA15" i="110"/>
  <c r="H57" i="110"/>
  <c r="V57" i="110" s="1"/>
  <c r="AA13" i="110"/>
  <c r="AA12" i="110"/>
  <c r="H56" i="110"/>
  <c r="V56" i="110" s="1"/>
  <c r="H55" i="110"/>
  <c r="V55" i="110" s="1"/>
  <c r="AA11" i="110"/>
  <c r="F34" i="110"/>
  <c r="H16" i="110" l="1"/>
  <c r="AA16" i="110" s="1"/>
  <c r="H60" i="110" l="1"/>
  <c r="V60" i="110" s="1"/>
  <c r="Q16" i="110" l="1"/>
  <c r="AS18" i="110"/>
  <c r="Q9" i="110"/>
  <c r="J16" i="110"/>
  <c r="J9" i="110"/>
  <c r="T9" i="110"/>
  <c r="S16" i="110"/>
  <c r="T16" i="110"/>
  <c r="S9" i="110"/>
  <c r="V9" i="110" l="1"/>
  <c r="W9" i="110" s="1"/>
  <c r="V16" i="110"/>
  <c r="AJ16" i="110" s="1"/>
  <c r="I9" i="110"/>
  <c r="I16" i="110"/>
  <c r="P9" i="110"/>
  <c r="P16" i="110"/>
  <c r="U9" i="110"/>
  <c r="U16" i="110"/>
  <c r="X9" i="110"/>
  <c r="O16" i="110" l="1"/>
  <c r="N16" i="110" s="1"/>
  <c r="M16" i="110" s="1"/>
  <c r="AB16" i="110"/>
  <c r="W16" i="110"/>
  <c r="AB9" i="110"/>
  <c r="O9" i="110"/>
  <c r="N9" i="110" s="1"/>
  <c r="M9" i="110" s="1"/>
  <c r="AJ9" i="110"/>
  <c r="Y9" i="110"/>
  <c r="X16" i="110"/>
  <c r="Y16" i="110" l="1"/>
  <c r="Q7" i="110" l="1"/>
  <c r="T7" i="110"/>
  <c r="J7" i="110"/>
  <c r="S7" i="110"/>
  <c r="V7" i="110" l="1"/>
  <c r="W7" i="110" s="1"/>
  <c r="I7" i="110"/>
  <c r="AB7" i="110"/>
  <c r="AT18" i="110"/>
  <c r="Q6" i="110"/>
  <c r="Q8" i="110"/>
  <c r="P7" i="110"/>
  <c r="U7" i="110"/>
  <c r="T6" i="110"/>
  <c r="J8" i="110"/>
  <c r="J6" i="110"/>
  <c r="S8" i="110"/>
  <c r="X7" i="110"/>
  <c r="S6" i="110"/>
  <c r="T8" i="110"/>
  <c r="AJ7" i="110" l="1"/>
  <c r="O7" i="110"/>
  <c r="N7" i="110" s="1"/>
  <c r="M7" i="110" s="1"/>
  <c r="V6" i="110"/>
  <c r="AJ6" i="110" s="1"/>
  <c r="V8" i="110"/>
  <c r="AB8" i="110" s="1"/>
  <c r="Y7" i="110"/>
  <c r="I8" i="110"/>
  <c r="W6" i="110"/>
  <c r="AJ8" i="110"/>
  <c r="W8" i="110"/>
  <c r="P8" i="110"/>
  <c r="I6" i="110"/>
  <c r="P6" i="110"/>
  <c r="U6" i="110"/>
  <c r="U8" i="110"/>
  <c r="AB6" i="110"/>
  <c r="X8" i="110"/>
  <c r="J5" i="110"/>
  <c r="AD6" i="110"/>
  <c r="X6" i="110"/>
  <c r="O8" i="110" l="1"/>
  <c r="N8" i="110" s="1"/>
  <c r="M8" i="110" s="1"/>
  <c r="AC6" i="110"/>
  <c r="H34" i="110"/>
  <c r="Y8" i="110"/>
  <c r="U10" i="110"/>
  <c r="Y6" i="110"/>
  <c r="Q15" i="110" l="1"/>
  <c r="J15" i="110"/>
  <c r="T15" i="110"/>
  <c r="S15" i="110"/>
  <c r="I15" i="110" l="1"/>
  <c r="P15" i="110"/>
  <c r="U15" i="110"/>
  <c r="V15" i="110" l="1"/>
  <c r="W15" i="110" s="1"/>
  <c r="M2" i="110"/>
  <c r="AB15" i="110"/>
  <c r="AJ15" i="110"/>
  <c r="Q11" i="110"/>
  <c r="Q14" i="110"/>
  <c r="Q13" i="110"/>
  <c r="Q12" i="110"/>
  <c r="J11" i="110"/>
  <c r="J13" i="110"/>
  <c r="X15" i="110"/>
  <c r="J14" i="110"/>
  <c r="J12" i="110"/>
  <c r="S11" i="110"/>
  <c r="T11" i="110"/>
  <c r="T14" i="110"/>
  <c r="S14" i="110"/>
  <c r="S13" i="110"/>
  <c r="T13" i="110"/>
  <c r="T12" i="110"/>
  <c r="S12" i="110"/>
  <c r="O15" i="110" l="1"/>
  <c r="N15" i="110" s="1"/>
  <c r="M15" i="110" s="1"/>
  <c r="V14" i="110"/>
  <c r="AJ14" i="110" s="1"/>
  <c r="V13" i="110"/>
  <c r="V11" i="110"/>
  <c r="V17" i="110" s="1"/>
  <c r="V12" i="110"/>
  <c r="I12" i="110"/>
  <c r="I14" i="110"/>
  <c r="Y15" i="110"/>
  <c r="I13" i="110"/>
  <c r="Q17" i="110"/>
  <c r="W14" i="110"/>
  <c r="O14" i="110"/>
  <c r="N14" i="110" s="1"/>
  <c r="M14" i="110" s="1"/>
  <c r="AJ13" i="110"/>
  <c r="AB13" i="110"/>
  <c r="W13" i="110"/>
  <c r="O13" i="110"/>
  <c r="N13" i="110" s="1"/>
  <c r="M13" i="110" s="1"/>
  <c r="W11" i="110"/>
  <c r="O11" i="110"/>
  <c r="N11" i="110" s="1"/>
  <c r="M11" i="110" s="1"/>
  <c r="AB12" i="110"/>
  <c r="W12" i="110"/>
  <c r="O12" i="110"/>
  <c r="N12" i="110" s="1"/>
  <c r="M12" i="110" s="1"/>
  <c r="AJ12" i="110"/>
  <c r="P12" i="110"/>
  <c r="P13" i="110"/>
  <c r="P14" i="110"/>
  <c r="P11" i="110"/>
  <c r="I11" i="110"/>
  <c r="Q18" i="110"/>
  <c r="U12" i="110"/>
  <c r="U14" i="110"/>
  <c r="X12" i="110"/>
  <c r="U13" i="110"/>
  <c r="U11" i="110"/>
  <c r="X14" i="110"/>
  <c r="X13" i="110"/>
  <c r="X11" i="110"/>
  <c r="J10" i="110"/>
  <c r="AB11" i="110" l="1"/>
  <c r="AJ11" i="110"/>
  <c r="AB14" i="110"/>
  <c r="Y13" i="110"/>
  <c r="Y14" i="110"/>
  <c r="U17" i="110"/>
  <c r="Y12" i="110"/>
  <c r="Q20" i="110"/>
  <c r="Y11" i="110"/>
  <c r="X17" i="110"/>
  <c r="X18" i="110"/>
  <c r="V18" i="110"/>
  <c r="H35" i="110"/>
  <c r="J17" i="110"/>
  <c r="V20" i="110" l="1"/>
  <c r="G34" i="110"/>
  <c r="H36" i="110"/>
  <c r="X20" i="110"/>
  <c r="W17" i="110"/>
  <c r="W20" i="110" s="1"/>
  <c r="J19" i="110"/>
  <c r="L2" i="110"/>
  <c r="I17" i="110"/>
  <c r="H38" i="110" l="1"/>
  <c r="G36" i="110"/>
  <c r="G38" i="110" s="1"/>
  <c r="V19" i="110"/>
  <c r="V21" i="110" s="1"/>
  <c r="Q19" i="110"/>
  <c r="Q21" i="110" s="1"/>
  <c r="X19" i="110" l="1"/>
  <c r="X21" i="110" s="1"/>
  <c r="O17" i="110"/>
  <c r="N17" i="110" l="1"/>
  <c r="O6" i="110"/>
  <c r="N6" i="110" s="1"/>
  <c r="M6" i="110" s="1"/>
  <c r="B125" i="4" l="1"/>
  <c r="B121" i="4"/>
  <c r="F121" i="4"/>
  <c r="C32" i="109" l="1"/>
  <c r="C31" i="109"/>
  <c r="I24" i="109"/>
  <c r="H24" i="109"/>
  <c r="D17" i="109"/>
  <c r="I32" i="109"/>
  <c r="I31" i="109"/>
  <c r="H36" i="108"/>
  <c r="I33" i="108"/>
  <c r="I34" i="108" s="1"/>
  <c r="I36" i="108" s="1"/>
  <c r="H33" i="108"/>
  <c r="I32" i="108"/>
  <c r="H32" i="108"/>
  <c r="D25" i="108"/>
  <c r="I48" i="108"/>
  <c r="I47" i="108"/>
  <c r="I45" i="108"/>
  <c r="I43" i="108"/>
  <c r="G42" i="107"/>
  <c r="H39" i="107"/>
  <c r="H40" i="107" s="1"/>
  <c r="H42" i="107" s="1"/>
  <c r="G39" i="107"/>
  <c r="C30" i="107"/>
  <c r="H59" i="107"/>
  <c r="H57" i="107"/>
  <c r="H55" i="107"/>
  <c r="F34" i="107"/>
  <c r="H52" i="107"/>
  <c r="H51" i="107"/>
  <c r="H50" i="107"/>
  <c r="B124" i="4"/>
  <c r="F3" i="4"/>
  <c r="G3" i="4"/>
  <c r="B123" i="4"/>
  <c r="H3" i="4"/>
  <c r="G34" i="107" l="1"/>
  <c r="G36" i="107"/>
  <c r="G38" i="107" s="1"/>
  <c r="H49" i="107"/>
  <c r="H54" i="107"/>
  <c r="H56" i="107"/>
  <c r="H58" i="107"/>
  <c r="I44" i="108"/>
  <c r="I46" i="108"/>
  <c r="K12" i="108"/>
  <c r="G29" i="108"/>
  <c r="K8" i="109"/>
  <c r="G21" i="109"/>
  <c r="K14" i="108" l="1"/>
  <c r="I29" i="108" s="1"/>
  <c r="H29" i="108" s="1"/>
  <c r="J12" i="108"/>
  <c r="K10" i="109"/>
  <c r="I21" i="109" s="1"/>
  <c r="H21" i="109" s="1"/>
  <c r="J8" i="109"/>
  <c r="B98" i="4" l="1"/>
  <c r="B107" i="4" l="1"/>
  <c r="B103" i="4"/>
  <c r="B3" i="80"/>
  <c r="C17" i="80"/>
  <c r="B17" i="80"/>
  <c r="K16" i="80"/>
  <c r="J16" i="80"/>
  <c r="I16" i="80"/>
  <c r="H16" i="80"/>
  <c r="G16" i="80"/>
  <c r="F16" i="80"/>
  <c r="E16" i="80"/>
  <c r="D16" i="80"/>
  <c r="C16" i="80"/>
  <c r="K15" i="80"/>
  <c r="J15" i="80"/>
  <c r="I15" i="80"/>
  <c r="H15" i="80"/>
  <c r="G15" i="80"/>
  <c r="F15" i="80"/>
  <c r="E15" i="80"/>
  <c r="D15" i="80"/>
  <c r="C15" i="80"/>
  <c r="B15" i="80"/>
  <c r="K14" i="80"/>
  <c r="J14" i="80"/>
  <c r="I14" i="80"/>
  <c r="H14" i="80"/>
  <c r="G14" i="80"/>
  <c r="F14" i="80"/>
  <c r="E14" i="80"/>
  <c r="D14" i="80"/>
  <c r="C14" i="80"/>
  <c r="K13" i="80"/>
  <c r="J13" i="80"/>
  <c r="I13" i="80"/>
  <c r="H13" i="80"/>
  <c r="G13" i="80"/>
  <c r="F13" i="80"/>
  <c r="E13" i="80"/>
  <c r="D13" i="80"/>
  <c r="C13" i="80"/>
  <c r="B13" i="80"/>
  <c r="K12" i="80"/>
  <c r="J12" i="80"/>
  <c r="I12" i="80"/>
  <c r="H12" i="80"/>
  <c r="G12" i="80"/>
  <c r="F12" i="80"/>
  <c r="E12" i="80"/>
  <c r="D12" i="80"/>
  <c r="C12" i="80"/>
  <c r="K11" i="80"/>
  <c r="J11" i="80"/>
  <c r="I11" i="80"/>
  <c r="H11" i="80"/>
  <c r="G11" i="80"/>
  <c r="F11" i="80"/>
  <c r="E11" i="80"/>
  <c r="D11" i="80"/>
  <c r="C11" i="80"/>
  <c r="B11" i="80"/>
  <c r="K10" i="80"/>
  <c r="J10" i="80"/>
  <c r="I10" i="80"/>
  <c r="H10" i="80"/>
  <c r="G10" i="80"/>
  <c r="F10" i="80"/>
  <c r="E10" i="80"/>
  <c r="D10" i="80"/>
  <c r="C10" i="80"/>
  <c r="K9" i="80"/>
  <c r="J9" i="80"/>
  <c r="I9" i="80"/>
  <c r="H9" i="80"/>
  <c r="G9" i="80"/>
  <c r="F9" i="80"/>
  <c r="E9" i="80"/>
  <c r="D9" i="80"/>
  <c r="C9" i="80"/>
  <c r="B9" i="80"/>
  <c r="K8" i="80"/>
  <c r="J8" i="80"/>
  <c r="I8" i="80"/>
  <c r="H8" i="80"/>
  <c r="G8" i="80"/>
  <c r="F8" i="80"/>
  <c r="E8" i="80"/>
  <c r="D8" i="80"/>
  <c r="C8" i="80"/>
  <c r="K7" i="80"/>
  <c r="J7" i="80"/>
  <c r="I7" i="80"/>
  <c r="H7" i="80"/>
  <c r="G7" i="80"/>
  <c r="F7" i="80"/>
  <c r="E7" i="80"/>
  <c r="D7" i="80"/>
  <c r="C7" i="80"/>
  <c r="B7" i="80"/>
  <c r="K6" i="80"/>
  <c r="J6" i="80"/>
  <c r="I6" i="80"/>
  <c r="H6" i="80"/>
  <c r="G6" i="80"/>
  <c r="F6" i="80"/>
  <c r="E6" i="80"/>
  <c r="D6" i="80"/>
  <c r="C6" i="80"/>
  <c r="K5" i="80"/>
  <c r="J5" i="80"/>
  <c r="I5" i="80"/>
  <c r="H5" i="80"/>
  <c r="G5" i="80"/>
  <c r="F5" i="80"/>
  <c r="E5" i="80"/>
  <c r="D5" i="80"/>
  <c r="C5" i="80"/>
  <c r="B5" i="80"/>
  <c r="K4" i="80"/>
  <c r="J4" i="80"/>
  <c r="I4" i="80"/>
  <c r="H4" i="80"/>
  <c r="G4" i="80"/>
  <c r="F4" i="80"/>
  <c r="E4" i="80"/>
  <c r="D4" i="80"/>
  <c r="C4" i="80"/>
  <c r="K3" i="80"/>
  <c r="J3" i="80"/>
  <c r="I3" i="80"/>
  <c r="H3" i="80"/>
  <c r="G3" i="80"/>
  <c r="F3" i="80"/>
  <c r="E3" i="80"/>
  <c r="D3" i="80"/>
  <c r="C3" i="80"/>
  <c r="B4" i="80" l="1"/>
  <c r="B16" i="80"/>
  <c r="B14" i="80"/>
  <c r="B12" i="80"/>
  <c r="B10" i="80"/>
  <c r="B8" i="80"/>
  <c r="B6" i="80"/>
  <c r="E2" i="84"/>
  <c r="E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29" i="84"/>
  <c r="E30" i="84"/>
  <c r="E31" i="84"/>
  <c r="E32" i="84"/>
  <c r="E33" i="84"/>
  <c r="E34" i="84"/>
  <c r="E35" i="84"/>
  <c r="E36" i="84"/>
  <c r="E37" i="84"/>
  <c r="E38" i="84"/>
  <c r="E39" i="84"/>
  <c r="E40" i="84"/>
  <c r="E41" i="84"/>
  <c r="E42" i="84"/>
  <c r="E43" i="84"/>
  <c r="E44" i="84"/>
  <c r="E45" i="84"/>
  <c r="E46" i="84"/>
  <c r="E47" i="84"/>
  <c r="E48" i="84"/>
  <c r="E49" i="84"/>
  <c r="E50" i="84"/>
  <c r="E51" i="84"/>
  <c r="E52" i="84"/>
  <c r="E53" i="84"/>
  <c r="E134" i="4"/>
  <c r="E133" i="4"/>
  <c r="E131" i="4"/>
  <c r="E130" i="4"/>
  <c r="E128" i="4"/>
  <c r="E127" i="4"/>
  <c r="C3" i="94" l="1"/>
  <c r="C3" i="79"/>
  <c r="B70" i="4"/>
  <c r="B69" i="4"/>
  <c r="B118" i="4"/>
  <c r="B117" i="4"/>
  <c r="B116" i="4"/>
  <c r="B22" i="99" l="1"/>
  <c r="BM74" i="104" l="1"/>
  <c r="BC74" i="104"/>
  <c r="Y74" i="104"/>
  <c r="AO74" i="104" s="1"/>
  <c r="BM73" i="104"/>
  <c r="BC73" i="104"/>
  <c r="Y73" i="104"/>
  <c r="AO73" i="104" s="1"/>
  <c r="BM72" i="104"/>
  <c r="BC72" i="104"/>
  <c r="Y72" i="104"/>
  <c r="AO72" i="104" s="1"/>
  <c r="BM71" i="104"/>
  <c r="BC71" i="104"/>
  <c r="Y71" i="104"/>
  <c r="BM70" i="104"/>
  <c r="BC70" i="104"/>
  <c r="Y70" i="104"/>
  <c r="BM69" i="104"/>
  <c r="BC69" i="104"/>
  <c r="Y69" i="104"/>
  <c r="BM68" i="104"/>
  <c r="BC68" i="104"/>
  <c r="Y68" i="104"/>
  <c r="BM67" i="104"/>
  <c r="BC67" i="104"/>
  <c r="Y67" i="104"/>
  <c r="BM66" i="104"/>
  <c r="BC66" i="104"/>
  <c r="Y66" i="104"/>
  <c r="BM65" i="104"/>
  <c r="BC65" i="104"/>
  <c r="Y65" i="104"/>
  <c r="BM64" i="104"/>
  <c r="BC64" i="104"/>
  <c r="Y64" i="104"/>
  <c r="BM63" i="104"/>
  <c r="BC63" i="104"/>
  <c r="Y63" i="104"/>
  <c r="BM62" i="104"/>
  <c r="BC62" i="104"/>
  <c r="Y62" i="104"/>
  <c r="BM61" i="104"/>
  <c r="BC61" i="104"/>
  <c r="Y61" i="104"/>
  <c r="BM60" i="104"/>
  <c r="BC60" i="104"/>
  <c r="Y60" i="104"/>
  <c r="BM59" i="104"/>
  <c r="BC59" i="104"/>
  <c r="Y59" i="104"/>
  <c r="BM58" i="104"/>
  <c r="BC58" i="104"/>
  <c r="Y58" i="104"/>
  <c r="BM57" i="104"/>
  <c r="BC57" i="104"/>
  <c r="Y57" i="104"/>
  <c r="BM56" i="104"/>
  <c r="BC56" i="104"/>
  <c r="Y56" i="104"/>
  <c r="AO56" i="104" s="1"/>
  <c r="BM55" i="104"/>
  <c r="BC55" i="104"/>
  <c r="Y55" i="104"/>
  <c r="AO55" i="104" s="1"/>
  <c r="BM54" i="104"/>
  <c r="BC54" i="104"/>
  <c r="Y54" i="104"/>
  <c r="AO54" i="104" s="1"/>
  <c r="BM53" i="104"/>
  <c r="BC53" i="104"/>
  <c r="Y53" i="104"/>
  <c r="AO53" i="104" s="1"/>
  <c r="BM52" i="104"/>
  <c r="BC52" i="104"/>
  <c r="Y52" i="104"/>
  <c r="AO52" i="104" s="1"/>
  <c r="BM51" i="104"/>
  <c r="BC51" i="104"/>
  <c r="Y51" i="104"/>
  <c r="BM50" i="104"/>
  <c r="BC50" i="104"/>
  <c r="Y50" i="104"/>
  <c r="BM49" i="104"/>
  <c r="BC49" i="104"/>
  <c r="Y49" i="104"/>
  <c r="BM48" i="104"/>
  <c r="BC48" i="104"/>
  <c r="Y48" i="104"/>
  <c r="BM47" i="104"/>
  <c r="BC47" i="104"/>
  <c r="Y47" i="104"/>
  <c r="BM46" i="104"/>
  <c r="BC46" i="104"/>
  <c r="Y46" i="104"/>
  <c r="BM45" i="104"/>
  <c r="BC45" i="104"/>
  <c r="Y45" i="104"/>
  <c r="BM44" i="104"/>
  <c r="BC44" i="104"/>
  <c r="Y44" i="104"/>
  <c r="BM43" i="104"/>
  <c r="BC43" i="104"/>
  <c r="Y43" i="104"/>
  <c r="BM42" i="104"/>
  <c r="BC42" i="104"/>
  <c r="Y42" i="104"/>
  <c r="BM41" i="104"/>
  <c r="BC41" i="104"/>
  <c r="Y41" i="104"/>
  <c r="BM40" i="104"/>
  <c r="BC40" i="104"/>
  <c r="Y40" i="104"/>
  <c r="BM39" i="104"/>
  <c r="BC39" i="104"/>
  <c r="Y39" i="104"/>
  <c r="AO39" i="104" s="1"/>
  <c r="BM38" i="104"/>
  <c r="BC38" i="104"/>
  <c r="Y38" i="104"/>
  <c r="AO38" i="104" s="1"/>
  <c r="BM37" i="104"/>
  <c r="BC37" i="104"/>
  <c r="Y37" i="104"/>
  <c r="AO37" i="104" s="1"/>
  <c r="BM36" i="104"/>
  <c r="BC36" i="104"/>
  <c r="Y36" i="104"/>
  <c r="AO36" i="104" s="1"/>
  <c r="BM35" i="104"/>
  <c r="BC35" i="104"/>
  <c r="Y35" i="104"/>
  <c r="AO35" i="104" s="1"/>
  <c r="BM34" i="104"/>
  <c r="BC34" i="104"/>
  <c r="Y34" i="104"/>
  <c r="AO34" i="104" s="1"/>
  <c r="BM33" i="104"/>
  <c r="BC33" i="104"/>
  <c r="Y33" i="104"/>
  <c r="AO33" i="104" s="1"/>
  <c r="BM32" i="104"/>
  <c r="BC32" i="104"/>
  <c r="Y32" i="104"/>
  <c r="AO32" i="104" s="1"/>
  <c r="BM31" i="104"/>
  <c r="BC31" i="104"/>
  <c r="Y31" i="104"/>
  <c r="AO31" i="104" s="1"/>
  <c r="BM30" i="104"/>
  <c r="BC30" i="104"/>
  <c r="Y30" i="104"/>
  <c r="AO30" i="104" s="1"/>
  <c r="BM29" i="104"/>
  <c r="BC29" i="104"/>
  <c r="Y29" i="104"/>
  <c r="BM28" i="104"/>
  <c r="BC28" i="104"/>
  <c r="Y28" i="104"/>
  <c r="BM27" i="104"/>
  <c r="BC27" i="104"/>
  <c r="Y27" i="104"/>
  <c r="BM26" i="104"/>
  <c r="BC26" i="104"/>
  <c r="Y26" i="104"/>
  <c r="BM25" i="104"/>
  <c r="BC25" i="104"/>
  <c r="Y25" i="104"/>
  <c r="BM24" i="104"/>
  <c r="BC24" i="104"/>
  <c r="Y24" i="104"/>
  <c r="BM23" i="104"/>
  <c r="BC23" i="104"/>
  <c r="Y23" i="104"/>
  <c r="BM22" i="104"/>
  <c r="BC22" i="104"/>
  <c r="Y22" i="104"/>
  <c r="BM21" i="104"/>
  <c r="BC21" i="104"/>
  <c r="Y21" i="104"/>
  <c r="BM20" i="104"/>
  <c r="BC20" i="104"/>
  <c r="Y20" i="104"/>
  <c r="BM19" i="104"/>
  <c r="BC19" i="104"/>
  <c r="Y19" i="104"/>
  <c r="BM18" i="104"/>
  <c r="BC18" i="104"/>
  <c r="Y18" i="104"/>
  <c r="BM17" i="104"/>
  <c r="BC17" i="104"/>
  <c r="Y17" i="104"/>
  <c r="BM16" i="104"/>
  <c r="BC16" i="104"/>
  <c r="Y16" i="104"/>
  <c r="BM15" i="104"/>
  <c r="BC15" i="104"/>
  <c r="Y15" i="104"/>
  <c r="BM14" i="104"/>
  <c r="BC14" i="104"/>
  <c r="Y14" i="104"/>
  <c r="BM13" i="104"/>
  <c r="BC13" i="104"/>
  <c r="Y13" i="104"/>
  <c r="BM12" i="104"/>
  <c r="BC12" i="104"/>
  <c r="Y12" i="104"/>
  <c r="BM11" i="104"/>
  <c r="BC11" i="104"/>
  <c r="Y11" i="104"/>
  <c r="BM10" i="104"/>
  <c r="BC10" i="104"/>
  <c r="Y10" i="104"/>
  <c r="BM9" i="104"/>
  <c r="BC9" i="104"/>
  <c r="Y9" i="104"/>
  <c r="BM8" i="104"/>
  <c r="BC8" i="104"/>
  <c r="Y8" i="104"/>
  <c r="BM7" i="104"/>
  <c r="BC7" i="104"/>
  <c r="Y7" i="104"/>
  <c r="BM6" i="104"/>
  <c r="BC6" i="104"/>
  <c r="Y6" i="104"/>
  <c r="BM5" i="104"/>
  <c r="BC5" i="104"/>
  <c r="Y5" i="104"/>
  <c r="BM4" i="104"/>
  <c r="BC4" i="104"/>
  <c r="Y4" i="104"/>
  <c r="AO4" i="104" s="1"/>
  <c r="BM3" i="104"/>
  <c r="BC3" i="104"/>
  <c r="Y3" i="104"/>
  <c r="AO3" i="104" s="1"/>
  <c r="BM2" i="104"/>
  <c r="BC2" i="104"/>
  <c r="Y2" i="104"/>
  <c r="AO2" i="104" s="1"/>
  <c r="X2" i="104" l="1"/>
  <c r="Z2" i="104"/>
  <c r="X3" i="104"/>
  <c r="Z3" i="104"/>
  <c r="X4" i="104"/>
  <c r="Z4" i="104"/>
  <c r="AO5" i="104"/>
  <c r="Z5" i="104"/>
  <c r="X5" i="104"/>
  <c r="AO7" i="104"/>
  <c r="Z7" i="104"/>
  <c r="X7" i="104"/>
  <c r="AO9" i="104"/>
  <c r="Z9" i="104"/>
  <c r="X9" i="104"/>
  <c r="AO11" i="104"/>
  <c r="Z11" i="104"/>
  <c r="X11" i="104"/>
  <c r="AO13" i="104"/>
  <c r="Z13" i="104"/>
  <c r="X13" i="104"/>
  <c r="AO15" i="104"/>
  <c r="Z15" i="104"/>
  <c r="X15" i="104"/>
  <c r="AO17" i="104"/>
  <c r="Z17" i="104"/>
  <c r="X17" i="104"/>
  <c r="AO19" i="104"/>
  <c r="Z19" i="104"/>
  <c r="X19" i="104"/>
  <c r="AO21" i="104"/>
  <c r="Z21" i="104"/>
  <c r="X21" i="104"/>
  <c r="AO23" i="104"/>
  <c r="Z23" i="104"/>
  <c r="X23" i="104"/>
  <c r="AO25" i="104"/>
  <c r="Z25" i="104"/>
  <c r="X25" i="104"/>
  <c r="AO27" i="104"/>
  <c r="Z27" i="104"/>
  <c r="X27" i="104"/>
  <c r="AO29" i="104"/>
  <c r="Z29" i="104"/>
  <c r="X29" i="104"/>
  <c r="AO6" i="104"/>
  <c r="Z6" i="104"/>
  <c r="X6" i="104"/>
  <c r="AO8" i="104"/>
  <c r="Z8" i="104"/>
  <c r="X8" i="104"/>
  <c r="AO10" i="104"/>
  <c r="Z10" i="104"/>
  <c r="X10" i="104"/>
  <c r="AO12" i="104"/>
  <c r="Z12" i="104"/>
  <c r="X12" i="104"/>
  <c r="AO14" i="104"/>
  <c r="Z14" i="104"/>
  <c r="X14" i="104"/>
  <c r="AO16" i="104"/>
  <c r="Z16" i="104"/>
  <c r="X16" i="104"/>
  <c r="AO18" i="104"/>
  <c r="Z18" i="104"/>
  <c r="X18" i="104"/>
  <c r="AO20" i="104"/>
  <c r="Z20" i="104"/>
  <c r="X20" i="104"/>
  <c r="AO22" i="104"/>
  <c r="Z22" i="104"/>
  <c r="X22" i="104"/>
  <c r="AO24" i="104"/>
  <c r="Z24" i="104"/>
  <c r="X24" i="104"/>
  <c r="AO26" i="104"/>
  <c r="Z26" i="104"/>
  <c r="X26" i="104"/>
  <c r="AO28" i="104"/>
  <c r="Z28" i="104"/>
  <c r="X28" i="104"/>
  <c r="AO41" i="104"/>
  <c r="Z41" i="104"/>
  <c r="X41" i="104"/>
  <c r="AO43" i="104"/>
  <c r="Z43" i="104"/>
  <c r="X43" i="104"/>
  <c r="AO45" i="104"/>
  <c r="Z45" i="104"/>
  <c r="X45" i="104"/>
  <c r="AO47" i="104"/>
  <c r="Z47" i="104"/>
  <c r="X47" i="104"/>
  <c r="AO49" i="104"/>
  <c r="Z49" i="104"/>
  <c r="X49" i="104"/>
  <c r="AO51" i="104"/>
  <c r="Z51" i="104"/>
  <c r="X51" i="104"/>
  <c r="X30" i="104"/>
  <c r="Z30" i="104"/>
  <c r="X31" i="104"/>
  <c r="Z31" i="104"/>
  <c r="X32" i="104"/>
  <c r="Z32" i="104"/>
  <c r="X33" i="104"/>
  <c r="Z33" i="104"/>
  <c r="X34" i="104"/>
  <c r="Z34" i="104"/>
  <c r="X35" i="104"/>
  <c r="Z35" i="104"/>
  <c r="X36" i="104"/>
  <c r="Z36" i="104"/>
  <c r="X37" i="104"/>
  <c r="Z37" i="104"/>
  <c r="X38" i="104"/>
  <c r="Z38" i="104"/>
  <c r="X39" i="104"/>
  <c r="Z39" i="104"/>
  <c r="AO40" i="104"/>
  <c r="Z40" i="104"/>
  <c r="X40" i="104"/>
  <c r="AO42" i="104"/>
  <c r="Z42" i="104"/>
  <c r="X42" i="104"/>
  <c r="AO44" i="104"/>
  <c r="Z44" i="104"/>
  <c r="X44" i="104"/>
  <c r="AO46" i="104"/>
  <c r="Z46" i="104"/>
  <c r="X46" i="104"/>
  <c r="AO48" i="104"/>
  <c r="Z48" i="104"/>
  <c r="X48" i="104"/>
  <c r="AO50" i="104"/>
  <c r="Z50" i="104"/>
  <c r="X50" i="104"/>
  <c r="AO57" i="104"/>
  <c r="Z57" i="104"/>
  <c r="X57" i="104"/>
  <c r="AO59" i="104"/>
  <c r="Z59" i="104"/>
  <c r="X59" i="104"/>
  <c r="AO61" i="104"/>
  <c r="Z61" i="104"/>
  <c r="X61" i="104"/>
  <c r="AO63" i="104"/>
  <c r="Z63" i="104"/>
  <c r="X63" i="104"/>
  <c r="AO65" i="104"/>
  <c r="Z65" i="104"/>
  <c r="X65" i="104"/>
  <c r="AO67" i="104"/>
  <c r="Z67" i="104"/>
  <c r="X67" i="104"/>
  <c r="AO69" i="104"/>
  <c r="Z69" i="104"/>
  <c r="X69" i="104"/>
  <c r="AO71" i="104"/>
  <c r="Z71" i="104"/>
  <c r="X71" i="104"/>
  <c r="X52" i="104"/>
  <c r="Z52" i="104"/>
  <c r="X53" i="104"/>
  <c r="Z53" i="104"/>
  <c r="X54" i="104"/>
  <c r="Z54" i="104"/>
  <c r="X55" i="104"/>
  <c r="Z55" i="104"/>
  <c r="X56" i="104"/>
  <c r="Z56" i="104"/>
  <c r="AO58" i="104"/>
  <c r="Z58" i="104"/>
  <c r="X58" i="104"/>
  <c r="AO60" i="104"/>
  <c r="Z60" i="104"/>
  <c r="X60" i="104"/>
  <c r="AO62" i="104"/>
  <c r="Z62" i="104"/>
  <c r="X62" i="104"/>
  <c r="AO64" i="104"/>
  <c r="Z64" i="104"/>
  <c r="X64" i="104"/>
  <c r="AO66" i="104"/>
  <c r="Z66" i="104"/>
  <c r="X66" i="104"/>
  <c r="AO68" i="104"/>
  <c r="Z68" i="104"/>
  <c r="X68" i="104"/>
  <c r="AO70" i="104"/>
  <c r="Z70" i="104"/>
  <c r="X70" i="104"/>
  <c r="X72" i="104"/>
  <c r="Z72" i="104"/>
  <c r="X73" i="104"/>
  <c r="Z73" i="104"/>
  <c r="X74" i="104"/>
  <c r="Z74" i="104"/>
  <c r="B33" i="99"/>
  <c r="B29" i="99" l="1"/>
  <c r="B26" i="99"/>
  <c r="F25" i="99"/>
  <c r="B34" i="99" l="1"/>
  <c r="C99" i="4"/>
  <c r="B89" i="4" l="1"/>
  <c r="B44" i="4" l="1"/>
  <c r="B43" i="4"/>
  <c r="B42" i="4"/>
  <c r="B45" i="4" l="1"/>
  <c r="G6" i="97" s="1"/>
  <c r="B57" i="4"/>
  <c r="B59" i="4"/>
  <c r="B46" i="4" l="1"/>
  <c r="C6" i="97"/>
  <c r="B6" i="97"/>
  <c r="A6" i="97"/>
  <c r="I2" i="97"/>
  <c r="H2" i="97"/>
  <c r="G2" i="97"/>
  <c r="F2" i="97"/>
  <c r="E2" i="97"/>
  <c r="J1" i="97"/>
  <c r="B138" i="4" l="1"/>
  <c r="J6" i="97"/>
  <c r="I2" i="96"/>
  <c r="I3" i="96"/>
  <c r="I4" i="96"/>
  <c r="I5" i="96"/>
  <c r="I6" i="96"/>
  <c r="I7" i="96"/>
  <c r="I8" i="96"/>
  <c r="I9" i="96"/>
  <c r="G12" i="96"/>
  <c r="G14" i="96" s="1"/>
  <c r="G16" i="96" s="1"/>
  <c r="I12" i="96" l="1"/>
  <c r="I14" i="96" s="1"/>
  <c r="I15" i="96" s="1"/>
  <c r="I16" i="96" s="1"/>
  <c r="B49" i="4" l="1"/>
  <c r="B50" i="4" s="1"/>
  <c r="J18" i="80" l="1"/>
  <c r="C2" i="75"/>
  <c r="D2" i="75"/>
  <c r="J2" i="75" s="1"/>
  <c r="C3" i="75"/>
  <c r="D3" i="75"/>
  <c r="J3" i="75" s="1"/>
  <c r="C4" i="75"/>
  <c r="D4" i="75"/>
  <c r="J4" i="75" s="1"/>
  <c r="C5" i="75"/>
  <c r="D5" i="75"/>
  <c r="J5" i="75" s="1"/>
  <c r="C6" i="75"/>
  <c r="D6" i="75"/>
  <c r="J6" i="75" s="1"/>
  <c r="C7" i="75"/>
  <c r="D7" i="75"/>
  <c r="J7" i="75" s="1"/>
  <c r="C8" i="75"/>
  <c r="D8" i="75"/>
  <c r="J8" i="75" s="1"/>
  <c r="C9" i="75"/>
  <c r="D9" i="75"/>
  <c r="J9" i="75" s="1"/>
  <c r="C10" i="75"/>
  <c r="D10" i="75"/>
  <c r="J10" i="75" s="1"/>
  <c r="C11" i="75"/>
  <c r="D11" i="75"/>
  <c r="J11" i="75" s="1"/>
  <c r="C12" i="75"/>
  <c r="D12" i="75"/>
  <c r="J12" i="75" s="1"/>
  <c r="C13" i="75"/>
  <c r="D13" i="75"/>
  <c r="C14" i="75"/>
  <c r="D14" i="75"/>
  <c r="J14" i="75" s="1"/>
  <c r="C15" i="75"/>
  <c r="D15" i="75"/>
  <c r="J15" i="75" s="1"/>
  <c r="C16" i="75"/>
  <c r="D16" i="75"/>
  <c r="J16" i="75" s="1"/>
  <c r="C17" i="75"/>
  <c r="D17" i="75"/>
  <c r="J17" i="75" s="1"/>
  <c r="C18" i="75"/>
  <c r="D18" i="75"/>
  <c r="C19" i="75"/>
  <c r="D19" i="75"/>
  <c r="C20" i="75"/>
  <c r="D20" i="75"/>
  <c r="C21" i="75"/>
  <c r="D21" i="75"/>
  <c r="J21" i="75" s="1"/>
  <c r="C22" i="75"/>
  <c r="D22" i="75"/>
  <c r="J22" i="75" s="1"/>
  <c r="C23" i="75"/>
  <c r="D23" i="75"/>
  <c r="J23" i="75" s="1"/>
  <c r="C24" i="75"/>
  <c r="D24" i="75"/>
  <c r="J24" i="75" s="1"/>
  <c r="C25" i="75"/>
  <c r="D25" i="75"/>
  <c r="J25" i="75" s="1"/>
  <c r="C26" i="75"/>
  <c r="D26" i="75"/>
  <c r="C27" i="75"/>
  <c r="D27" i="75"/>
  <c r="J27" i="75" s="1"/>
  <c r="C28" i="75"/>
  <c r="D28" i="75"/>
  <c r="C29" i="75"/>
  <c r="D29" i="75"/>
  <c r="C30" i="75"/>
  <c r="D30" i="75"/>
  <c r="J30" i="75" s="1"/>
  <c r="C31" i="75"/>
  <c r="D31" i="75"/>
  <c r="J31" i="75" s="1"/>
  <c r="C32" i="75"/>
  <c r="D32" i="75"/>
  <c r="J32" i="75" s="1"/>
  <c r="C33" i="75"/>
  <c r="D33" i="75"/>
  <c r="J33" i="75" s="1"/>
  <c r="C34" i="75"/>
  <c r="D34" i="75"/>
  <c r="J34" i="75" s="1"/>
  <c r="C35" i="75"/>
  <c r="D35" i="75"/>
  <c r="J35" i="75" s="1"/>
  <c r="C36" i="75"/>
  <c r="D36" i="75"/>
  <c r="C37" i="75"/>
  <c r="D37" i="75"/>
  <c r="C38" i="75"/>
  <c r="D38" i="75"/>
  <c r="C39" i="75"/>
  <c r="D39" i="75"/>
  <c r="J39" i="75" s="1"/>
  <c r="C40" i="75"/>
  <c r="D40" i="75"/>
  <c r="J40" i="75" s="1"/>
  <c r="C41" i="75"/>
  <c r="D41" i="75"/>
  <c r="J41" i="75" s="1"/>
  <c r="C42" i="75"/>
  <c r="D42" i="75"/>
  <c r="J42" i="75" s="1"/>
  <c r="C43" i="75"/>
  <c r="D43" i="75"/>
  <c r="J43" i="75" s="1"/>
  <c r="C44" i="75"/>
  <c r="D44" i="75"/>
  <c r="J44" i="75" s="1"/>
  <c r="C45" i="75"/>
  <c r="D45" i="75"/>
  <c r="J45" i="75" s="1"/>
  <c r="C46" i="75"/>
  <c r="D46" i="75"/>
  <c r="J46" i="75" s="1"/>
  <c r="C47" i="75"/>
  <c r="D47" i="75"/>
  <c r="J47" i="75" s="1"/>
  <c r="C48" i="75"/>
  <c r="D48" i="75"/>
  <c r="J48" i="75" s="1"/>
  <c r="C49" i="75"/>
  <c r="D49" i="75"/>
  <c r="J49" i="75" s="1"/>
  <c r="C50" i="75"/>
  <c r="D50" i="75"/>
  <c r="J50" i="75" s="1"/>
  <c r="F3" i="94"/>
  <c r="F3" i="79"/>
  <c r="D2" i="82" s="1"/>
  <c r="B6" i="4"/>
  <c r="B7" i="4"/>
  <c r="B8" i="4"/>
  <c r="B9" i="4"/>
  <c r="B10" i="4"/>
  <c r="B11" i="4"/>
  <c r="B12" i="4"/>
  <c r="B13" i="4"/>
  <c r="B14" i="4"/>
  <c r="C16" i="4"/>
  <c r="B17" i="4"/>
  <c r="B18" i="4"/>
  <c r="B19" i="4"/>
  <c r="D23" i="4"/>
  <c r="J26" i="4"/>
  <c r="D44" i="4"/>
  <c r="G44" i="4"/>
  <c r="B47" i="4"/>
  <c r="B48" i="4"/>
  <c r="B53" i="4"/>
  <c r="B55" i="4"/>
  <c r="B62" i="4"/>
  <c r="B64" i="4"/>
  <c r="B72" i="4"/>
  <c r="G69" i="4"/>
  <c r="D70" i="4"/>
  <c r="B91" i="4"/>
  <c r="B96" i="4"/>
  <c r="B97" i="4"/>
  <c r="D97" i="4"/>
  <c r="D98" i="4"/>
  <c r="B122" i="4"/>
  <c r="E1" i="44"/>
  <c r="E2" i="44"/>
  <c r="E3" i="44"/>
  <c r="E4" i="44"/>
  <c r="E5" i="44"/>
  <c r="E6" i="44"/>
  <c r="E7" i="44"/>
  <c r="E8" i="44"/>
  <c r="E9" i="44"/>
  <c r="E10" i="44"/>
  <c r="E11" i="44"/>
  <c r="E12" i="44"/>
  <c r="L3" i="80"/>
  <c r="L4" i="80"/>
  <c r="L5" i="80"/>
  <c r="L6" i="80"/>
  <c r="L7" i="80"/>
  <c r="L8" i="80"/>
  <c r="L9" i="80"/>
  <c r="L10" i="80"/>
  <c r="L11" i="80"/>
  <c r="L12" i="80"/>
  <c r="L13" i="80"/>
  <c r="L14" i="80"/>
  <c r="L15" i="80"/>
  <c r="L16" i="80"/>
  <c r="L17" i="80"/>
  <c r="B18" i="80"/>
  <c r="C18" i="80"/>
  <c r="D18" i="80"/>
  <c r="E18" i="80"/>
  <c r="F18" i="80"/>
  <c r="G18" i="80"/>
  <c r="H18" i="80"/>
  <c r="K18" i="80"/>
  <c r="B108" i="4" l="1"/>
  <c r="D99" i="4"/>
  <c r="B102" i="4"/>
  <c r="B101" i="4"/>
  <c r="B106" i="4"/>
  <c r="B109" i="4"/>
  <c r="B105" i="4"/>
  <c r="B104" i="4"/>
  <c r="B100" i="4"/>
  <c r="B99" i="4"/>
  <c r="B3" i="4"/>
  <c r="L18" i="80"/>
  <c r="D42" i="4"/>
  <c r="B25" i="4" l="1"/>
  <c r="B73" i="4"/>
  <c r="D137" i="4" l="1"/>
  <c r="D136" i="4"/>
  <c r="B74" i="4"/>
  <c r="D76" i="4" s="1"/>
  <c r="C76" i="4" s="1"/>
  <c r="C73" i="4"/>
  <c r="B75" i="4"/>
  <c r="E3" i="94"/>
  <c r="G3" i="94" s="1"/>
  <c r="G4" i="94" s="1"/>
  <c r="E3" i="79"/>
  <c r="D77" i="4" l="1"/>
  <c r="C77" i="4" s="1"/>
  <c r="B77" i="4" s="1"/>
  <c r="B76" i="4"/>
  <c r="C72" i="4" s="1"/>
  <c r="C2" i="82"/>
  <c r="E2" i="82" s="1"/>
  <c r="E3" i="82" s="1"/>
  <c r="G3" i="79"/>
  <c r="G4" i="79" s="1"/>
  <c r="F6" i="97" l="1"/>
  <c r="E6" i="97" l="1"/>
  <c r="BK73" i="104"/>
  <c r="BK67" i="104"/>
  <c r="BH16" i="104"/>
  <c r="BK52" i="104"/>
  <c r="BH31" i="104"/>
  <c r="BH42" i="104"/>
  <c r="BH26" i="104"/>
  <c r="BH65" i="104"/>
  <c r="BH55" i="104"/>
  <c r="B114" i="4"/>
  <c r="BH58" i="104"/>
  <c r="BK24" i="104"/>
  <c r="B94" i="4"/>
  <c r="BK23" i="104"/>
  <c r="BK39" i="104"/>
  <c r="BK64" i="104"/>
  <c r="BH41" i="104"/>
  <c r="BK32" i="104"/>
  <c r="BH22" i="104"/>
  <c r="BK33" i="104"/>
  <c r="BH66" i="104"/>
  <c r="BH36" i="104"/>
  <c r="B82" i="4"/>
  <c r="BH62" i="104"/>
  <c r="BK49" i="104"/>
  <c r="BK16" i="104"/>
  <c r="BK12" i="104"/>
  <c r="B83" i="4"/>
  <c r="BH74" i="104"/>
  <c r="BH21" i="104"/>
  <c r="BK74" i="104"/>
  <c r="B81" i="4"/>
  <c r="BK50" i="104"/>
  <c r="F45" i="4"/>
  <c r="BH2" i="104"/>
  <c r="BK58" i="104"/>
  <c r="BK48" i="104"/>
  <c r="BH30" i="104"/>
  <c r="BH45" i="104"/>
  <c r="BH61" i="104"/>
  <c r="I42" i="4"/>
  <c r="BK3" i="104"/>
  <c r="BH44" i="104"/>
  <c r="BH71" i="104"/>
  <c r="BK11" i="104"/>
  <c r="B80" i="4"/>
  <c r="H42" i="4"/>
  <c r="BH68" i="104"/>
  <c r="BK55" i="104"/>
  <c r="BK9" i="104"/>
  <c r="BK41" i="104"/>
  <c r="BH6" i="104"/>
  <c r="BK6" i="104"/>
  <c r="BH43" i="104"/>
  <c r="BK61" i="104"/>
  <c r="BK31" i="104"/>
  <c r="BK40" i="104"/>
  <c r="BH9" i="104"/>
  <c r="B63" i="4"/>
  <c r="BH18" i="104"/>
  <c r="B90" i="4"/>
  <c r="BK5" i="104"/>
  <c r="BK15" i="104"/>
  <c r="BK69" i="104"/>
  <c r="BH4" i="104"/>
  <c r="BK59" i="104"/>
  <c r="BK63" i="104"/>
  <c r="BH50" i="104"/>
  <c r="BH5" i="104"/>
  <c r="BK29" i="104"/>
  <c r="BK7" i="104"/>
  <c r="B115" i="4"/>
  <c r="BK72" i="104"/>
  <c r="BH3" i="104"/>
  <c r="BH37" i="104"/>
  <c r="BH15" i="104"/>
  <c r="BK56" i="104"/>
  <c r="BK46" i="104"/>
  <c r="BK45" i="104"/>
  <c r="BK28" i="104"/>
  <c r="BK14" i="104"/>
  <c r="BK42" i="104"/>
  <c r="BK66" i="104"/>
  <c r="BK4" i="104"/>
  <c r="BH53" i="104"/>
  <c r="BK25" i="104"/>
  <c r="BH12" i="104"/>
  <c r="B95" i="4"/>
  <c r="BH27" i="104"/>
  <c r="BH46" i="104"/>
  <c r="BH47" i="104"/>
  <c r="BK19" i="104"/>
  <c r="BK21" i="104"/>
  <c r="BK36" i="104"/>
  <c r="BH25" i="104"/>
  <c r="BK30" i="104"/>
  <c r="BH54" i="104"/>
  <c r="BH72" i="104"/>
  <c r="BH60" i="104"/>
  <c r="BK62" i="104"/>
  <c r="BH24" i="104"/>
  <c r="BH10" i="104"/>
  <c r="BK43" i="104"/>
  <c r="BK17" i="104"/>
  <c r="BK38" i="104"/>
  <c r="BH17" i="104"/>
  <c r="BK71" i="104"/>
  <c r="BH59" i="104"/>
  <c r="B113" i="4"/>
  <c r="BH48" i="104"/>
  <c r="BH23" i="104"/>
  <c r="H43" i="4"/>
  <c r="BH13" i="104"/>
  <c r="BK57" i="104"/>
  <c r="BH34" i="104"/>
  <c r="BH11" i="104"/>
  <c r="BH28" i="104"/>
  <c r="BH52" i="104"/>
  <c r="BH64" i="104"/>
  <c r="BH32" i="104"/>
  <c r="BK22" i="104"/>
  <c r="BK8" i="104"/>
  <c r="BK13" i="104"/>
  <c r="BK35" i="104"/>
  <c r="BK51" i="104"/>
  <c r="B79" i="4"/>
  <c r="BK27" i="104"/>
  <c r="BH49" i="104"/>
  <c r="BH63" i="104"/>
  <c r="BK60" i="104"/>
  <c r="BH67" i="104"/>
  <c r="BH33" i="104"/>
  <c r="BH56" i="104"/>
  <c r="BK68" i="104"/>
  <c r="BH39" i="104"/>
  <c r="BH40" i="104"/>
  <c r="B54" i="4"/>
  <c r="BH19" i="104"/>
  <c r="BH51" i="104"/>
  <c r="BK70" i="104"/>
  <c r="BH7" i="104"/>
  <c r="BK2" i="104"/>
  <c r="BK54" i="104"/>
  <c r="BH73" i="104"/>
  <c r="BH69" i="104"/>
  <c r="BK44" i="104"/>
  <c r="BK18" i="104"/>
  <c r="BK34" i="104"/>
  <c r="BK26" i="104"/>
  <c r="BK47" i="104"/>
  <c r="BH35" i="104"/>
  <c r="BH57" i="104"/>
  <c r="BK65" i="104"/>
  <c r="BH20" i="104"/>
  <c r="BK10" i="104"/>
  <c r="BK20" i="104"/>
  <c r="B78" i="4"/>
  <c r="BH29" i="104"/>
  <c r="BK53" i="104"/>
  <c r="BH14" i="104"/>
  <c r="BH38" i="104"/>
  <c r="BH8" i="104"/>
  <c r="BK37" i="104"/>
  <c r="BH70" i="104"/>
  <c r="BL32" i="104" l="1"/>
  <c r="BL53" i="104"/>
  <c r="BL46" i="104"/>
  <c r="BL48" i="104"/>
  <c r="BL45" i="104"/>
  <c r="BL58" i="104"/>
  <c r="BL56" i="104"/>
  <c r="BL20" i="104"/>
  <c r="BL30" i="104"/>
  <c r="BL37" i="104"/>
  <c r="BL57" i="104"/>
  <c r="BL10" i="104"/>
  <c r="BL64" i="104"/>
  <c r="BL40" i="104"/>
  <c r="BL39" i="104"/>
  <c r="BL50" i="104"/>
  <c r="BL31" i="104"/>
  <c r="BL36" i="104"/>
  <c r="BL65" i="104"/>
  <c r="BL23" i="104"/>
  <c r="BL61" i="104"/>
  <c r="BL72" i="104"/>
  <c r="BL21" i="104"/>
  <c r="BL68" i="104"/>
  <c r="BL74" i="104"/>
  <c r="BL19" i="104"/>
  <c r="BL24" i="104"/>
  <c r="BL6" i="104"/>
  <c r="BL7" i="104"/>
  <c r="BL47" i="104"/>
  <c r="BL29" i="104"/>
  <c r="BL26" i="104"/>
  <c r="BL41" i="104"/>
  <c r="BL71" i="104"/>
  <c r="BL60" i="104"/>
  <c r="BL34" i="104"/>
  <c r="BL12" i="104"/>
  <c r="BL9" i="104"/>
  <c r="BL18" i="104"/>
  <c r="BL16" i="104"/>
  <c r="BL55" i="104"/>
  <c r="BL63" i="104"/>
  <c r="BL38" i="104"/>
  <c r="BL44" i="104"/>
  <c r="BL49" i="104"/>
  <c r="BL59" i="104"/>
  <c r="BL25" i="104"/>
  <c r="BL17" i="104"/>
  <c r="BL27" i="104"/>
  <c r="C45" i="4"/>
  <c r="BL43" i="104"/>
  <c r="BL69" i="104"/>
  <c r="BL4" i="104"/>
  <c r="BL51" i="104"/>
  <c r="BL54" i="104"/>
  <c r="BL52" i="104"/>
  <c r="BL11" i="104"/>
  <c r="BL15" i="104"/>
  <c r="BL66" i="104"/>
  <c r="BL35" i="104"/>
  <c r="BL2" i="104"/>
  <c r="BL5" i="104"/>
  <c r="BL42" i="104"/>
  <c r="BL62" i="104"/>
  <c r="BL13" i="104"/>
  <c r="BL67" i="104"/>
  <c r="BL33" i="104"/>
  <c r="BL14" i="104"/>
  <c r="BL8" i="104"/>
  <c r="BL70" i="104"/>
  <c r="BL73" i="104"/>
  <c r="BL3" i="104"/>
  <c r="BL28" i="104"/>
  <c r="BL22" i="104"/>
</calcChain>
</file>

<file path=xl/comments1.xml><?xml version="1.0" encoding="utf-8"?>
<comments xmlns="http://schemas.openxmlformats.org/spreadsheetml/2006/main">
  <authors>
    <author>FOREST</author>
  </authors>
  <commentList>
    <comment ref="S48" author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2.xml><?xml version="1.0" encoding="utf-8"?>
<comments xmlns="http://schemas.openxmlformats.org/spreadsheetml/2006/main">
  <authors>
    <author>John Walkenbach</author>
    <author>volond</author>
  </authors>
  <commentList>
    <comment ref="A1" authorId="0">
      <text>
        <r>
          <rPr>
            <sz val="8"/>
            <color indexed="8"/>
            <rFont val="Tahoma"/>
            <family val="2"/>
            <charset val="204"/>
          </rPr>
          <t xml:space="preserve">1 для меню
2 для команды меню
3 для команды подменю
</t>
        </r>
      </text>
    </comment>
    <comment ref="B1" authorId="0">
      <text>
        <r>
          <rPr>
            <sz val="8"/>
            <color indexed="8"/>
            <rFont val="Tahoma"/>
            <family val="2"/>
          </rPr>
          <t>Подпись меню
Используйте символ &amp; для указания подчеркиваемого символа</t>
        </r>
      </text>
    </comment>
    <comment ref="C1" authorId="0">
      <text>
        <r>
          <rPr>
            <sz val="8"/>
            <color indexed="8"/>
            <rFont val="Tahoma"/>
            <family val="2"/>
          </rPr>
          <t>If Level 1,  the menu position.
Для уровней 2 или 3 определяет выполняемый макрос</t>
        </r>
        <r>
          <rPr>
            <sz val="8"/>
            <color indexed="8"/>
            <rFont val="Tahoma"/>
            <family val="2"/>
            <charset val="204"/>
          </rPr>
          <t xml:space="preserve">
</t>
        </r>
      </text>
    </comment>
    <comment ref="D1" authorId="0">
      <text>
        <r>
          <rPr>
            <sz val="8"/>
            <color indexed="8"/>
            <rFont val="Tahoma"/>
            <family val="2"/>
            <charset val="204"/>
          </rPr>
          <t>ИСТИНА для добавления перед элементом разделителя</t>
        </r>
      </text>
    </comment>
    <comment ref="E1" authorId="0">
      <text>
        <r>
          <rPr>
            <sz val="8"/>
            <color indexed="8"/>
            <rFont val="Tahoma"/>
            <family val="2"/>
            <charset val="204"/>
          </rPr>
          <t xml:space="preserve">Код значка, отображающегося возле команды меню (не оязательно)
</t>
        </r>
      </text>
    </comment>
    <comment ref="F1" authorId="1">
      <text>
        <r>
          <rPr>
            <b/>
            <sz val="8"/>
            <color indexed="8"/>
            <rFont val="Tahoma"/>
            <family val="2"/>
            <charset val="204"/>
          </rPr>
          <t>volond:</t>
        </r>
        <r>
          <rPr>
            <sz val="8"/>
            <color indexed="8"/>
            <rFont val="Tahoma"/>
            <family val="2"/>
            <charset val="204"/>
          </rPr>
          <t xml:space="preserve">
В случае неактивности
меняеться цвет и становиться неактивным макрос</t>
        </r>
      </text>
    </comment>
  </commentList>
</comments>
</file>

<file path=xl/comments3.xml><?xml version="1.0" encoding="utf-8"?>
<comments xmlns="http://schemas.openxmlformats.org/spreadsheetml/2006/main">
  <authors>
    <author>volond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mments4.xml><?xml version="1.0" encoding="utf-8"?>
<comments xmlns="http://schemas.openxmlformats.org/spreadsheetml/2006/main">
  <authors>
    <author>volond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A12" author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sharedStrings.xml><?xml version="1.0" encoding="utf-8"?>
<sst xmlns="http://schemas.openxmlformats.org/spreadsheetml/2006/main" count="14514" uniqueCount="3474">
  <si>
    <t>ВСЬОГОПРП</t>
  </si>
  <si>
    <t>ПДВПРП</t>
  </si>
  <si>
    <t>СуммаПРП</t>
  </si>
  <si>
    <t>Площа</t>
  </si>
  <si>
    <t>Ділянка</t>
  </si>
  <si>
    <t>Квартал</t>
  </si>
  <si>
    <t>Майстер</t>
  </si>
  <si>
    <t>Лісничого</t>
  </si>
  <si>
    <t>Лісничий</t>
  </si>
  <si>
    <t>Лісництва</t>
  </si>
  <si>
    <t>Лісництво</t>
  </si>
  <si>
    <t>ДП «Звенигородське лісове господарство»</t>
  </si>
  <si>
    <t>ДЛГ</t>
  </si>
  <si>
    <t>Виконавець</t>
  </si>
  <si>
    <t>Итого</t>
  </si>
  <si>
    <t>Вид рубки</t>
  </si>
  <si>
    <t>Лісгосп</t>
  </si>
  <si>
    <t>Майстерська дільниця</t>
  </si>
  <si>
    <t>Ділова</t>
  </si>
  <si>
    <t>Вільхівецьке</t>
  </si>
  <si>
    <t>Звенигородське ЛГ</t>
  </si>
  <si>
    <t>62 кв (1 вид) 1 діл.</t>
  </si>
  <si>
    <t>55 кв (5, 6, 8 вид)  діл.</t>
  </si>
  <si>
    <t>66 кв (1, 2 вид)  діл.</t>
  </si>
  <si>
    <t>40 кв (4, 6 вид)  діл.</t>
  </si>
  <si>
    <t>62 кв (4 вид) 0 діл.</t>
  </si>
  <si>
    <t>81 кв (1 вид) 0 діл.</t>
  </si>
  <si>
    <t>101 кв (6 вид) 0 діл.</t>
  </si>
  <si>
    <t>14 кв (1 вид) 0 діл.</t>
  </si>
  <si>
    <t>39 кв (2 вид) 0 діл.</t>
  </si>
  <si>
    <t>71 кв (2 вид) 0 діл.</t>
  </si>
  <si>
    <t>РГК</t>
  </si>
  <si>
    <t>62 кв (2 вид) 0 діл.</t>
  </si>
  <si>
    <t>43 кв (3 вид) 0 діл.</t>
  </si>
  <si>
    <t>100 кв (1 вид) 5 діл.</t>
  </si>
  <si>
    <t>18 кв (4 вид) 0 діл.</t>
  </si>
  <si>
    <t>64 кв (5 вид) 0 діл.</t>
  </si>
  <si>
    <t>81 кв (3 вид) 0 діл.</t>
  </si>
  <si>
    <t>69 кв (1 вид) 0 діл.</t>
  </si>
  <si>
    <t>86 кв (4 вид) 0 діл.</t>
  </si>
  <si>
    <t>9 кв (2 вид) 0 діл.</t>
  </si>
  <si>
    <t>26 кв (2 вид) 0 діл.</t>
  </si>
  <si>
    <t>125 кв (10 вид) 1 діл.</t>
  </si>
  <si>
    <t>125 кв (20 вид) 1 діл.</t>
  </si>
  <si>
    <t>45 кв (4 вид) 0 діл.</t>
  </si>
  <si>
    <t>125 кв (29 вид) 1 діл.</t>
  </si>
  <si>
    <t>122 кв (10 вид) 0 діл.</t>
  </si>
  <si>
    <t>52 кв (1 вид) 0 діл.</t>
  </si>
  <si>
    <t>50 кв (4 вид) 0 діл.</t>
  </si>
  <si>
    <t>85 кв (1 вид) 0 діл.</t>
  </si>
  <si>
    <t>12 кв (4 вид) 0 діл.</t>
  </si>
  <si>
    <t>108 кв (6 вид) 0 діл.</t>
  </si>
  <si>
    <t>62 кв (5 вид) 0 діл.</t>
  </si>
  <si>
    <t>90 кв (8 вид) 0 діл.</t>
  </si>
  <si>
    <t>108 кв (1 вид) 0 діл.</t>
  </si>
  <si>
    <t>16 кв (2 вид) 0 діл.</t>
  </si>
  <si>
    <t>23 кв (3 вид) 0 діл.</t>
  </si>
  <si>
    <t>23 кв (1 вид) 0 діл.</t>
  </si>
  <si>
    <t>78 кв (2 вид) 1 діл.</t>
  </si>
  <si>
    <t>70 кв (1 вид) 0 діл.</t>
  </si>
  <si>
    <t>85 кв (10 вид) 0 діл.</t>
  </si>
  <si>
    <t>93 кв (3 вид) 0 діл.</t>
  </si>
  <si>
    <t>93 кв (4 вид) 0 діл.</t>
  </si>
  <si>
    <t>59 кв (4 вид) 0 діл.</t>
  </si>
  <si>
    <t>73 кв (3 вид) 0 діл.</t>
  </si>
  <si>
    <t>7 кв (1 вид) 0 діл.</t>
  </si>
  <si>
    <t>106 кв (3 вид) 0 діл.</t>
  </si>
  <si>
    <t>83 кв (1 вид) 0 діл.</t>
  </si>
  <si>
    <t>84 кв (4 вид) 0 діл.</t>
  </si>
  <si>
    <t>110 кв (7 вид) 0 діл.</t>
  </si>
  <si>
    <t>77 кв (7 вид) 0 діл.</t>
  </si>
  <si>
    <t>89 кв (2 вид) 0 діл.</t>
  </si>
  <si>
    <t>90 кв (3 вид) 0 діл.</t>
  </si>
  <si>
    <t>79 кв (7 вид) 0 діл.</t>
  </si>
  <si>
    <t>43 кв (7 вид) 0 діл.</t>
  </si>
  <si>
    <t>73 кв (3 вид) 1 діл.</t>
  </si>
  <si>
    <t>5 кв (3 вид) 0 діл.</t>
  </si>
  <si>
    <t>100 кв (1 вид) 6 діл.</t>
  </si>
  <si>
    <t>82 кв (5 вид) 0 діл.</t>
  </si>
  <si>
    <t>79 кв (14 вид) 0 діл.</t>
  </si>
  <si>
    <t>100 кв (1 вид) 0 діл.</t>
  </si>
  <si>
    <t>90 кв (1 вид) 0 діл.</t>
  </si>
  <si>
    <t>5 кв (5 вид) 0 діл.</t>
  </si>
  <si>
    <t>15 кв (5 вид) 0 діл.</t>
  </si>
  <si>
    <t>78 кв (2 вид) 0 діл.</t>
  </si>
  <si>
    <t>Катеринопільське</t>
  </si>
  <si>
    <t>66 кв (2 вид) 0 діл.</t>
  </si>
  <si>
    <t>51 кв (5 вид) 0 діл.</t>
  </si>
  <si>
    <t>118 кв (7 вид) 0 діл.</t>
  </si>
  <si>
    <t>99 кв (1 вид) 0 діл.</t>
  </si>
  <si>
    <t>23 кв (2 вид) 5 діл.</t>
  </si>
  <si>
    <t>23 кв (2 вид) 4 діл.</t>
  </si>
  <si>
    <t>4 кв (5 вид) 6 діл.</t>
  </si>
  <si>
    <t>12 кв (1 вид) 1 діл.</t>
  </si>
  <si>
    <t>4 кв (7 вид) 1 діл.</t>
  </si>
  <si>
    <t>1 кв (4 вид) 0 діл.</t>
  </si>
  <si>
    <t>1 кв (13 вид) 0 діл.</t>
  </si>
  <si>
    <t>1 кв (9 вид) 0 діл.</t>
  </si>
  <si>
    <t>1 кв (5 вид) 0 діл.</t>
  </si>
  <si>
    <t>1 кв (19 вид) 0 діл.</t>
  </si>
  <si>
    <t>35 кв (2 вид) 0 діл.</t>
  </si>
  <si>
    <t>36 кв (6 вид) 0 діл.</t>
  </si>
  <si>
    <t>36 кв (3 вид) 0 діл.</t>
  </si>
  <si>
    <t>14 кв (5 вид) 0 діл.</t>
  </si>
  <si>
    <t>85 кв (9 вид) 0 діл.</t>
  </si>
  <si>
    <t>86 кв (10 вид) 0 діл.</t>
  </si>
  <si>
    <t>41 кв (13 вид) 0 діл.</t>
  </si>
  <si>
    <t>41 кв (12 вид) 0 діл.</t>
  </si>
  <si>
    <t>117 кв (11 вид) 0 діл.</t>
  </si>
  <si>
    <t>35 кв (1 вид) 0 діл.</t>
  </si>
  <si>
    <t>73 кв (2 вид) 0 діл.</t>
  </si>
  <si>
    <t>5 кв (1 вид) 0 діл.</t>
  </si>
  <si>
    <t>5 кв (2 вид) 0 діл.</t>
  </si>
  <si>
    <t>5 кв (4 вид) 0 діл.</t>
  </si>
  <si>
    <t>5 кв (6 вид) 0 діл.</t>
  </si>
  <si>
    <t>5 кв (7 вид) 0 діл.</t>
  </si>
  <si>
    <t>17 кв (1 вид) 0 діл.</t>
  </si>
  <si>
    <t>18 кв (3 вид) 0 діл.</t>
  </si>
  <si>
    <t>18 кв (3 вид) 1 діл.</t>
  </si>
  <si>
    <t>36 кв (4 вид) 0 діл.</t>
  </si>
  <si>
    <t>118 кв (6 вид) 0 діл.</t>
  </si>
  <si>
    <t>47 кв (1 вид) 0 діл.</t>
  </si>
  <si>
    <t>25 кв (1 вид) 0 діл.</t>
  </si>
  <si>
    <t>1 кв (21 вид) 0 діл.</t>
  </si>
  <si>
    <t>6 кв (1 вид) 0 діл.</t>
  </si>
  <si>
    <t>6 кв (2 вид) 0 діл.</t>
  </si>
  <si>
    <t>6 кв (3 вид) 0 діл.</t>
  </si>
  <si>
    <t>6 кв (4 вид) 0 діл.</t>
  </si>
  <si>
    <t>48 кв (1 вид) 0 діл.</t>
  </si>
  <si>
    <t>37 кв (1 вид) 2 діл.</t>
  </si>
  <si>
    <t>37 кв (1 вид) 0 діл.</t>
  </si>
  <si>
    <t>41 кв (9 вид) 3 діл.</t>
  </si>
  <si>
    <t>Козачанське</t>
  </si>
  <si>
    <t>6 кв (4 вид) 3 діл.</t>
  </si>
  <si>
    <t>36 кв (1 вид) 0 діл.</t>
  </si>
  <si>
    <t>87 кв (8 вид) 0 діл.</t>
  </si>
  <si>
    <t>83 кв (7 вид) 0 діл.</t>
  </si>
  <si>
    <t>2 кв (13 вид) 0 діл.</t>
  </si>
  <si>
    <t>27 кв (11 вид) 1 діл.</t>
  </si>
  <si>
    <t>6 кв (4 вид) 2 діл.</t>
  </si>
  <si>
    <t>30 кв (9 вид) 2 діл.</t>
  </si>
  <si>
    <t>47 кв (7 вид) 2 діл.</t>
  </si>
  <si>
    <t>54 кв (9 вид) 1 діл.</t>
  </si>
  <si>
    <t>75 кв (3 вид) 0 діл.</t>
  </si>
  <si>
    <t>93 кв (1 вид) 0 діл.</t>
  </si>
  <si>
    <t>97 кв (15 вид) 0 діл.</t>
  </si>
  <si>
    <t>32 кв (17 вид) 0 діл.</t>
  </si>
  <si>
    <t>23 кв (10 вид) 1 діл.</t>
  </si>
  <si>
    <t>92 кв (8 вид) 0 діл.</t>
  </si>
  <si>
    <t>50 кв (10 вид) 4 діл.</t>
  </si>
  <si>
    <t>50 кв (1 вид) 1 діл.</t>
  </si>
  <si>
    <t>49 кв (1 вид) 1 діл.</t>
  </si>
  <si>
    <t>50 кв (10 вид) 1 діл.</t>
  </si>
  <si>
    <t>93 кв (2 вид) 0 діл.</t>
  </si>
  <si>
    <t>168 кв (1 вид) 0 діл.</t>
  </si>
  <si>
    <t>55 кв (9 вид) 0 діл.</t>
  </si>
  <si>
    <t>50 кв (3 вид) 0 діл.</t>
  </si>
  <si>
    <t>49 кв (4 вид) 3 діл.</t>
  </si>
  <si>
    <t>25 кв (11 вид) 0 діл.</t>
  </si>
  <si>
    <t>51 кв (1 вид) 0 діл.</t>
  </si>
  <si>
    <t>13 кв (7 вид) 0 діл.</t>
  </si>
  <si>
    <t>50 кв (10 вид) 0 діл.</t>
  </si>
  <si>
    <t>49 кв (4 вид) 0 діл.</t>
  </si>
  <si>
    <t>86 кв (1 вид) 0 діл.</t>
  </si>
  <si>
    <t>74 кв (1 вид) 0 діл.</t>
  </si>
  <si>
    <t>55 кв (8 вид) 0 діл.</t>
  </si>
  <si>
    <t>31 кв (5 вид) 0 діл.</t>
  </si>
  <si>
    <t>24 кв (9 вид) 0 діл.</t>
  </si>
  <si>
    <t>62 кв (1 вид) 0 діл.</t>
  </si>
  <si>
    <t>3 кв (3 вид) 0 діл.</t>
  </si>
  <si>
    <t>74 кв (1 вид) 1 діл.</t>
  </si>
  <si>
    <t>8 кв (2 вид) 0 діл.</t>
  </si>
  <si>
    <t>12 кв (10 вид) 0 діл.</t>
  </si>
  <si>
    <t>19 кв (4 вид) 0 діл.</t>
  </si>
  <si>
    <t>12 кв (10 вид) 1 діл.</t>
  </si>
  <si>
    <t>12 кв (10 вид) 2 діл.</t>
  </si>
  <si>
    <t>3 кв (12 вид) 0 діл.</t>
  </si>
  <si>
    <t>Пехівське</t>
  </si>
  <si>
    <t>58 кв (11 вид) 0 діл.</t>
  </si>
  <si>
    <t>58 кв (4 вид) 0 діл.</t>
  </si>
  <si>
    <t>52 кв (3 вид) 0 діл.</t>
  </si>
  <si>
    <t>67 кв (1 вид) 0 діл.</t>
  </si>
  <si>
    <t>48 кв (3 вид) 0 діл.</t>
  </si>
  <si>
    <t>63 кв (1 вид) 0 діл.</t>
  </si>
  <si>
    <t>23 кв (9 вид) 0 діл.</t>
  </si>
  <si>
    <t>36 кв (2 вид) 0 діл.</t>
  </si>
  <si>
    <t>46 кв (6 вид) 0 діл.</t>
  </si>
  <si>
    <t>57 кв (7 вид) 0 діл.</t>
  </si>
  <si>
    <t>51 кв (1 вид) 3 діл.</t>
  </si>
  <si>
    <t>41 кв (3 вид) 5 діл.</t>
  </si>
  <si>
    <t>52 кв (3 вид) 2 діл.</t>
  </si>
  <si>
    <t>34 кв (2 вид) 0 діл.</t>
  </si>
  <si>
    <t>47 кв (3 вид) 0 діл.</t>
  </si>
  <si>
    <t>30 кв (1 вид) 0 діл.</t>
  </si>
  <si>
    <t>59 кв (6 вид) 0 діл.</t>
  </si>
  <si>
    <t>59 кв (9 вид) 0 діл.</t>
  </si>
  <si>
    <t>24 кв (2 вид) 0 діл.</t>
  </si>
  <si>
    <t>32 кв (7 вид) 0 діл.</t>
  </si>
  <si>
    <t>22 кв (4 вид) 0 діл.</t>
  </si>
  <si>
    <t>70 кв (5 вид) 0 діл.</t>
  </si>
  <si>
    <t>65 кв (3 вид) 0 діл.</t>
  </si>
  <si>
    <t>58 кв (9 вид) 0 діл.</t>
  </si>
  <si>
    <t>57 кв (5 вид) 0 діл.</t>
  </si>
  <si>
    <t>68 кв (1 вид) 0 діл.</t>
  </si>
  <si>
    <t>34 кв (3 вид) 0 діл.</t>
  </si>
  <si>
    <t>72 кв (4 вид) 0 діл.</t>
  </si>
  <si>
    <t>79 кв (2 вид) 0 діл.</t>
  </si>
  <si>
    <t>23 кв (6 вид) 0 діл.</t>
  </si>
  <si>
    <t>23 кв (8 вид) 0 діл.</t>
  </si>
  <si>
    <t>27 кв (3 вид) 0 діл.</t>
  </si>
  <si>
    <t>21 кв (3 вид) 0 діл.</t>
  </si>
  <si>
    <t>21 кв (4 вид) 0 діл.</t>
  </si>
  <si>
    <t>21 кв (1 вид) 1 діл.</t>
  </si>
  <si>
    <t>2 кв (32 вид) 0 діл.</t>
  </si>
  <si>
    <t>41 кв (3 вид) 6 діл.</t>
  </si>
  <si>
    <t>41 кв (3 вид) 0 діл.</t>
  </si>
  <si>
    <t>Хлипнівське</t>
  </si>
  <si>
    <t>126 кв (1 вид) 1 діл.</t>
  </si>
  <si>
    <t>53 кв (16 вид),52 кв (12 вид)  діл.</t>
  </si>
  <si>
    <t>40 кв (9 вид),41 кв (14 вид)  діл.</t>
  </si>
  <si>
    <t>40 кв (9 вид),41 кв (14 вид),46 кв (1, 2 вид)  діл</t>
  </si>
  <si>
    <t>32 кв (8 вид) 0 діл.</t>
  </si>
  <si>
    <t>9 кв (3 вид) 0 діл.</t>
  </si>
  <si>
    <t>77 кв (4 вид) 0 діл.</t>
  </si>
  <si>
    <t>103 кв (1 вид) 0 діл.</t>
  </si>
  <si>
    <t>132 кв (3 вид) 0 діл.</t>
  </si>
  <si>
    <t>53 кв (5 вид) 0 діл.</t>
  </si>
  <si>
    <t>28 кв (1 вид) 2 діл.</t>
  </si>
  <si>
    <t>90 кв (1 вид) 1 діл.</t>
  </si>
  <si>
    <t>86 кв (2 вид) 1 діл.</t>
  </si>
  <si>
    <t>80 кв (4 вид) 3 діл.</t>
  </si>
  <si>
    <t>29 кв (1 вид) 0 діл.</t>
  </si>
  <si>
    <t>111 кв (1 вид) 1 діл.</t>
  </si>
  <si>
    <t>12 кв (1 вид) 0 діл.</t>
  </si>
  <si>
    <t>7 кв (2 вид) 0 діл.</t>
  </si>
  <si>
    <t>21 кв (2 вид) 1 діл.</t>
  </si>
  <si>
    <t>21 кв (2 вид) 2 діл.</t>
  </si>
  <si>
    <t>129 кв (13 вид) 1 діл.</t>
  </si>
  <si>
    <t>87 кв (6 вид) 0 діл.</t>
  </si>
  <si>
    <t>118 кв (2 вид) 0 діл.</t>
  </si>
  <si>
    <t>96 кв (13 вид) 0 діл.</t>
  </si>
  <si>
    <t>98 кв (7 вид) 0 діл.</t>
  </si>
  <si>
    <t>104 кв (2 вид) 0 діл.</t>
  </si>
  <si>
    <t>111 кв (6 вид) 0 діл.</t>
  </si>
  <si>
    <t>6 кв (9 вид) 0 діл.</t>
  </si>
  <si>
    <t>6 кв (10 вид) 0 діл.</t>
  </si>
  <si>
    <t>56 кв (7 вид) 0 діл.</t>
  </si>
  <si>
    <t>106 кв (10 вид) 0 діл.</t>
  </si>
  <si>
    <t>114 кв (1 вид) 0 діл.</t>
  </si>
  <si>
    <t>134 кв (29 вид) 0 діл.</t>
  </si>
  <si>
    <t>13 кв (2 вид) 0 діл.</t>
  </si>
  <si>
    <t>58 кв (3 вид) 0 діл.</t>
  </si>
  <si>
    <t>58 кв (1 вид) 0 діл.</t>
  </si>
  <si>
    <t>90 кв (2 вид) 0 діл.</t>
  </si>
  <si>
    <t>85 кв (3 вид) 0 діл.</t>
  </si>
  <si>
    <t>85 кв (2 вид) 0 діл.</t>
  </si>
  <si>
    <t>85 кв (15 вид) 0 діл.</t>
  </si>
  <si>
    <t>71 кв (1 вид) 0 діл.</t>
  </si>
  <si>
    <t>110 кв (6 вид) 0 діл.</t>
  </si>
  <si>
    <t>128 кв (21 вид) 0 діл.</t>
  </si>
  <si>
    <t>132 кв (2 вид) 0 діл.</t>
  </si>
  <si>
    <t>99 кв (3 вид) 0 діл.</t>
  </si>
  <si>
    <t>108 кв (7 вид) 0 діл.</t>
  </si>
  <si>
    <t>125 кв (8 вид) 0 діл.</t>
  </si>
  <si>
    <t>68 кв (5 вид) 0 діл.</t>
  </si>
  <si>
    <t>89 кв (6 вид) 0 діл.</t>
  </si>
  <si>
    <t>116 кв (2 вид) 0 діл.</t>
  </si>
  <si>
    <t>85 кв (11 вид) 0 діл.</t>
  </si>
  <si>
    <t>66 кв (1 вид) 0 діл.</t>
  </si>
  <si>
    <t>128 кв (6 вид) 0 діл.</t>
  </si>
  <si>
    <t>94 кв (8 вид) 1 діл.</t>
  </si>
  <si>
    <t>133 кв (4 вид) 0 діл.</t>
  </si>
  <si>
    <t>25 кв (2 вид) 0 діл.</t>
  </si>
  <si>
    <t>80 кв (4 вид) 0 діл.</t>
  </si>
  <si>
    <t>54 кв (13 вид) 0 діл.</t>
  </si>
  <si>
    <t>54 кв (14 вид) 0 діл.</t>
  </si>
  <si>
    <t>58 кв (10 вид) 0 діл.</t>
  </si>
  <si>
    <t>116 кв (2 вид) 2 діл.</t>
  </si>
  <si>
    <t>28 кв (5 вид) 0 діл.</t>
  </si>
  <si>
    <t>66 кв (3 вид) 0 діл.</t>
  </si>
  <si>
    <t>90 кв (5 вид) 0 діл.</t>
  </si>
  <si>
    <t>16 кв (3 вид) 0 діл.</t>
  </si>
  <si>
    <t>16 кв (1 вид) 0 діл.</t>
  </si>
  <si>
    <t>48 кв (9 вид) 0 діл.</t>
  </si>
  <si>
    <t>48 кв (9 вид) 1 діл.</t>
  </si>
  <si>
    <t>106 кв (1 вид) 0 діл.</t>
  </si>
  <si>
    <t>106 кв (6 вид) 0 діл.</t>
  </si>
  <si>
    <t>133 кв (12 вид) 0 діл.</t>
  </si>
  <si>
    <t>126 кв (1 вид) 2 діл.</t>
  </si>
  <si>
    <t>86 кв (6 вид) 2 діл.</t>
  </si>
  <si>
    <t>89 кв (6 вид) 3 діл.</t>
  </si>
  <si>
    <t>89 кв (6 вид) 4 діл.</t>
  </si>
  <si>
    <t>63 кв (7 вид) 0 діл.</t>
  </si>
  <si>
    <t>67 кв (2 вид) 2 діл.</t>
  </si>
  <si>
    <t>67 кв (2 вид) 1 діл.</t>
  </si>
  <si>
    <t>96 кв (5 вид) 0 діл.</t>
  </si>
  <si>
    <t>Шполянське</t>
  </si>
  <si>
    <t>99 кв (2 вид) 0 діл.</t>
  </si>
  <si>
    <t>97 кв (5 вид) 0 діл.</t>
  </si>
  <si>
    <t>103 кв (2 вид) 2 діл.</t>
  </si>
  <si>
    <t>111 кв (4 вид) 0 діл.</t>
  </si>
  <si>
    <t>110 кв (3 вид) 0 діл.</t>
  </si>
  <si>
    <t>31 кв (4 вид) 0 діл.</t>
  </si>
  <si>
    <t>90 кв (7 вид) 0 діл.</t>
  </si>
  <si>
    <t>42 кв (6 вид) 0 діл.</t>
  </si>
  <si>
    <t>8 кв (4 вид) 1 діл.</t>
  </si>
  <si>
    <t>124 кв (1 вид) 0 діл.</t>
  </si>
  <si>
    <t>125 кв (1 вид) 0 діл.</t>
  </si>
  <si>
    <t>68 кв (4 вид) 0 діл.</t>
  </si>
  <si>
    <t>72 кв (1 вид) 0 діл.</t>
  </si>
  <si>
    <t>47 кв (2 вид) 0 діл.</t>
  </si>
  <si>
    <t>89 кв (1 вид) 0 діл.</t>
  </si>
  <si>
    <t>158 кв (21 вид) 0 діл.</t>
  </si>
  <si>
    <t>158 кв (23 вид) 0 діл.</t>
  </si>
  <si>
    <t>50 кв (4 вид) 3 діл.</t>
  </si>
  <si>
    <t>14 кв (4 вид) 0 діл.</t>
  </si>
  <si>
    <t>170 кв (9 вид) 1 діл.</t>
  </si>
  <si>
    <t>143 кв (6 вид) 0 діл.</t>
  </si>
  <si>
    <t>157 кв (21 вид) 4 діл.</t>
  </si>
  <si>
    <t>13 кв (1 вид) 1 діл.</t>
  </si>
  <si>
    <t>142 кв (6 вид) 1 діл.</t>
  </si>
  <si>
    <t>27 кв (12 вид) 0 діл.</t>
  </si>
  <si>
    <t>7 кв (8 вид) 0 діл.</t>
  </si>
  <si>
    <t>45 кв (10 вид) 0 діл.</t>
  </si>
  <si>
    <t>45 кв (11 вид) 0 діл.</t>
  </si>
  <si>
    <t>8 кв (4 вид) 0 діл.</t>
  </si>
  <si>
    <t>32 кв (14 вид) 0 діл.</t>
  </si>
  <si>
    <t>10 кв (5 вид) 0 діл.</t>
  </si>
  <si>
    <t>10 кв (2 вид) 0 діл.</t>
  </si>
  <si>
    <t>135 кв (1 вид) 0 діл.</t>
  </si>
  <si>
    <t>135 кв (2 вид) 0 діл.</t>
  </si>
  <si>
    <t>61 кв (2 вид) 0 діл.</t>
  </si>
  <si>
    <t>95 кв (7 вид) 1 діл.</t>
  </si>
  <si>
    <t>18 кв (2 вид) 0 діл.</t>
  </si>
  <si>
    <t>46 кв (9 вид) 1 діл.</t>
  </si>
  <si>
    <t>126 кв (1 вид) 4 діл.</t>
  </si>
  <si>
    <t>137 кв (1 вид) 0 діл.</t>
  </si>
  <si>
    <t>130 кв (1 вид) 1 діл.</t>
  </si>
  <si>
    <t>111 кв (5 вид) 0 діл.</t>
  </si>
  <si>
    <t>111 кв (7 вид) 0 діл.</t>
  </si>
  <si>
    <t>111 кв (3 вид) 0 діл.</t>
  </si>
  <si>
    <t>144 кв (1 вид) 1 діл.</t>
  </si>
  <si>
    <t>34 кв (1 вид) 0 діл.</t>
  </si>
  <si>
    <t>126 кв (1 вид) 3 діл.</t>
  </si>
  <si>
    <t>3 кв (4 вид) 1 діл.</t>
  </si>
  <si>
    <t>133 кв (6 вид) 0 діл.</t>
  </si>
  <si>
    <t>35 кв (1 вид) 1 діл.</t>
  </si>
  <si>
    <t>70 кв (4 вид) 0 діл.</t>
  </si>
  <si>
    <t>98 кв (2 вид) 0 діл.</t>
  </si>
  <si>
    <t>99 кв (2 вид) 2 діл.</t>
  </si>
  <si>
    <t>121 кв (1 вид) 1 діл.</t>
  </si>
  <si>
    <t>36 кв (1 вид) 3 діл.</t>
  </si>
  <si>
    <t>157 кв (21 вид) 0 діл.</t>
  </si>
  <si>
    <t>131 кв (1 вид) 3 діл.</t>
  </si>
  <si>
    <t>122 кв (1 вид) 1 діл.</t>
  </si>
  <si>
    <t>139 кв (12 вид) 1 діл.</t>
  </si>
  <si>
    <t>11 кв (2 вид) 0 діл.</t>
  </si>
  <si>
    <t>136 кв (2 вид) 0 діл.</t>
  </si>
  <si>
    <t>101 кв (3 вид) 0 діл.</t>
  </si>
  <si>
    <t>101 кв (1 вид) 0 діл.</t>
  </si>
  <si>
    <t>101 кв (4 вид) 0 діл.</t>
  </si>
  <si>
    <t>99 кв (2 вид) 1 діл.</t>
  </si>
  <si>
    <t>131 кв (1 вид) 2 діл.</t>
  </si>
  <si>
    <t>27 кв (11 вид) 0 діл.</t>
  </si>
  <si>
    <t>46 кв (1 вид) 0 діл.</t>
  </si>
  <si>
    <t>162 кв (1 вид) 0 діл.</t>
  </si>
  <si>
    <t>37 кв (1 вид) 4 діл.</t>
  </si>
  <si>
    <t>57 кв (10 вид) 0 діл.</t>
  </si>
  <si>
    <t>86 кв (2 вид) 0 діл.</t>
  </si>
  <si>
    <t>72 кв (2 вид) 0 діл.</t>
  </si>
  <si>
    <t>72 кв (5 вид) 0 діл.</t>
  </si>
  <si>
    <t>37 кв (1 вид) 6 діл.</t>
  </si>
  <si>
    <t>94 кв (3 вид) 0 діл.</t>
  </si>
  <si>
    <t>Реєстр лісорубних квитків.xls</t>
  </si>
  <si>
    <t>TDSheet</t>
  </si>
  <si>
    <t>Реестр_ЛК</t>
  </si>
  <si>
    <t>Зведений щоденник</t>
  </si>
  <si>
    <t>Зведений щоденник.xls</t>
  </si>
  <si>
    <t>Сортимент</t>
  </si>
  <si>
    <t>Порода</t>
  </si>
  <si>
    <t>Сорт</t>
  </si>
  <si>
    <t>Пиловник</t>
  </si>
  <si>
    <t>Дрова технологічні (штб)</t>
  </si>
  <si>
    <t>дуб</t>
  </si>
  <si>
    <t>клен</t>
  </si>
  <si>
    <t>липа</t>
  </si>
  <si>
    <t>граб</t>
  </si>
  <si>
    <t>Фансировина для стругання</t>
  </si>
  <si>
    <t>Сума, грн.</t>
  </si>
  <si>
    <t>Видел</t>
  </si>
  <si>
    <t>Реестр_Договора</t>
  </si>
  <si>
    <t>Отчет по договорам подряда.xls</t>
  </si>
  <si>
    <t>Файл для импорта</t>
  </si>
  <si>
    <t>Лист</t>
  </si>
  <si>
    <t>Новое Имя Листа</t>
  </si>
  <si>
    <t>№</t>
  </si>
  <si>
    <t>Макрос</t>
  </si>
  <si>
    <t>Отчет по договорам подряда
		Звенигородське ЛГ. 19.11.2013 08:19:10</t>
  </si>
  <si>
    <t>Майстерська ділянка</t>
  </si>
  <si>
    <t>Номер договору</t>
  </si>
  <si>
    <t>Продукція</t>
  </si>
  <si>
    <t>Довжина</t>
  </si>
  <si>
    <t>Діаметр</t>
  </si>
  <si>
    <t>Об'єм</t>
  </si>
  <si>
    <t>ПП Центрально-Українська Паритетна Група</t>
  </si>
  <si>
    <t>01\Віл\10</t>
  </si>
  <si>
    <t>01\Віл\11</t>
  </si>
  <si>
    <t>01\Віл\1</t>
  </si>
  <si>
    <t>ясен</t>
  </si>
  <si>
    <t>Будліс</t>
  </si>
  <si>
    <t>-</t>
  </si>
  <si>
    <t>Баланси (штб)</t>
  </si>
  <si>
    <t>01\Віл\2</t>
  </si>
  <si>
    <t>01\Віл\3</t>
  </si>
  <si>
    <t>01\Віл\4</t>
  </si>
  <si>
    <t>01\Віл\5</t>
  </si>
  <si>
    <t>01\Віл\6</t>
  </si>
  <si>
    <t>01\Віл\7</t>
  </si>
  <si>
    <t>01\Віл\8</t>
  </si>
  <si>
    <t>01\Віл\9</t>
  </si>
  <si>
    <t>02\Віл\6</t>
  </si>
  <si>
    <t>02\Віл\7</t>
  </si>
  <si>
    <t>02\Віл\8</t>
  </si>
  <si>
    <t>02\Віл\9</t>
  </si>
  <si>
    <t>02\Віл\10</t>
  </si>
  <si>
    <t>02\Віл\11</t>
  </si>
  <si>
    <t>02\Віл\1</t>
  </si>
  <si>
    <t>02\Віл\4</t>
  </si>
  <si>
    <t>02\Віл\2</t>
  </si>
  <si>
    <t>02\Віл\3</t>
  </si>
  <si>
    <t>02\Віл\5</t>
  </si>
  <si>
    <t>ФОП Дереча Пилип Олександрович</t>
  </si>
  <si>
    <t>05\Віл\2</t>
  </si>
  <si>
    <t>05\Віл\4</t>
  </si>
  <si>
    <t>05\Віл\5</t>
  </si>
  <si>
    <t>05\Віл\6</t>
  </si>
  <si>
    <t>05\Віл\3</t>
  </si>
  <si>
    <t>05\Віл\1</t>
  </si>
  <si>
    <t>05\Віл\7</t>
  </si>
  <si>
    <t>05\Віл\9</t>
  </si>
  <si>
    <t>05\Віл\8</t>
  </si>
  <si>
    <t>05\Віл\11</t>
  </si>
  <si>
    <t>05\Віл\12</t>
  </si>
  <si>
    <t>05\Віл\14</t>
  </si>
  <si>
    <t>05\Віл\13</t>
  </si>
  <si>
    <t>05\Віл\10</t>
  </si>
  <si>
    <t>08\Віл\6</t>
  </si>
  <si>
    <t>08\Віл\5</t>
  </si>
  <si>
    <t>08\Віл\4</t>
  </si>
  <si>
    <t>08\Віл\3</t>
  </si>
  <si>
    <t>04\Віл\2</t>
  </si>
  <si>
    <t>04\Віл\1</t>
  </si>
  <si>
    <t>09\Віл\1</t>
  </si>
  <si>
    <t>09\Віл\2</t>
  </si>
  <si>
    <t>09\Віл\3</t>
  </si>
  <si>
    <t>09\Віл\4</t>
  </si>
  <si>
    <t>09\Віл\5</t>
  </si>
  <si>
    <t>06\Віл\1</t>
  </si>
  <si>
    <t>06\Віл\2</t>
  </si>
  <si>
    <t>06\Віл\3</t>
  </si>
  <si>
    <t>06\Віл\4</t>
  </si>
  <si>
    <t>07\Віл\1</t>
  </si>
  <si>
    <t>08\Віл\1</t>
  </si>
  <si>
    <t>08\Віл\2</t>
  </si>
  <si>
    <t>09\Віл\6</t>
  </si>
  <si>
    <t>09\Віл\7</t>
  </si>
  <si>
    <t>09\Віл\8</t>
  </si>
  <si>
    <t>09\Віл\9</t>
  </si>
  <si>
    <t>08\Віл\7</t>
  </si>
  <si>
    <t>08\Віл\8</t>
  </si>
  <si>
    <t>08\Віл\9</t>
  </si>
  <si>
    <t>ПП «Даварт-груп»</t>
  </si>
  <si>
    <t>01\Кат\11</t>
  </si>
  <si>
    <t>01\Кат\12</t>
  </si>
  <si>
    <t>01\Кат\13</t>
  </si>
  <si>
    <t>01\Кат\14</t>
  </si>
  <si>
    <t>01\Кат\15</t>
  </si>
  <si>
    <t>02\Кат\1</t>
  </si>
  <si>
    <t>03\Кат\2</t>
  </si>
  <si>
    <t>03\Кат\3</t>
  </si>
  <si>
    <t>03\Кат\6</t>
  </si>
  <si>
    <t>03\Кат\1</t>
  </si>
  <si>
    <t>03\Кат\4</t>
  </si>
  <si>
    <t>03\Кат\5</t>
  </si>
  <si>
    <t>03\Кат\9</t>
  </si>
  <si>
    <t>03\Кат\7</t>
  </si>
  <si>
    <t>03\Кат\8</t>
  </si>
  <si>
    <t>01\Кат\8</t>
  </si>
  <si>
    <t>01\Кат\1</t>
  </si>
  <si>
    <t>01\Кат\2</t>
  </si>
  <si>
    <t>01\Кат\3</t>
  </si>
  <si>
    <t>01\Кат\4</t>
  </si>
  <si>
    <t>01\Кат\5</t>
  </si>
  <si>
    <t>01\Кат\6</t>
  </si>
  <si>
    <t>01\Кат\7</t>
  </si>
  <si>
    <t>01\Кат\9</t>
  </si>
  <si>
    <t>01\Кат\10</t>
  </si>
  <si>
    <t>Торенс ПП</t>
  </si>
  <si>
    <t>05\Кат\4</t>
  </si>
  <si>
    <t>05\Кат\5</t>
  </si>
  <si>
    <t>05\Кат\6</t>
  </si>
  <si>
    <t>05\Кат\8</t>
  </si>
  <si>
    <t>05\Кат\7</t>
  </si>
  <si>
    <t>04\Кат\2</t>
  </si>
  <si>
    <t>04\Кат\3</t>
  </si>
  <si>
    <t>04\Кат\1</t>
  </si>
  <si>
    <t>05\Кат\1</t>
  </si>
  <si>
    <t>05\Кат\2</t>
  </si>
  <si>
    <t>05\Кат\3</t>
  </si>
  <si>
    <t>09\Кат\2</t>
  </si>
  <si>
    <t>09\Кат\1</t>
  </si>
  <si>
    <t>06\Кат\1</t>
  </si>
  <si>
    <t>07\Кат\1</t>
  </si>
  <si>
    <t>07\Кат\2</t>
  </si>
  <si>
    <t>07\Кат\3</t>
  </si>
  <si>
    <t>07\Кат\4</t>
  </si>
  <si>
    <t>07\Кат\5</t>
  </si>
  <si>
    <t>07\Кат\6</t>
  </si>
  <si>
    <t>07\Кат\7</t>
  </si>
  <si>
    <t>07\Кат\8</t>
  </si>
  <si>
    <t>08\Кат\1</t>
  </si>
  <si>
    <t>09\Кат\3</t>
  </si>
  <si>
    <t>09\Кат\4</t>
  </si>
  <si>
    <t>10\Кат\1</t>
  </si>
  <si>
    <t>01\Коз\7</t>
  </si>
  <si>
    <t>01\Коз\9</t>
  </si>
  <si>
    <t>01\Коз\6</t>
  </si>
  <si>
    <t>01\Коз\8</t>
  </si>
  <si>
    <t>01\Коз\10</t>
  </si>
  <si>
    <t>03\Коз\1</t>
  </si>
  <si>
    <t>03\Коз\3</t>
  </si>
  <si>
    <t>03\Коз\2</t>
  </si>
  <si>
    <t>02\Коз\2</t>
  </si>
  <si>
    <t>02\Коз\3</t>
  </si>
  <si>
    <t>02\Коз\4</t>
  </si>
  <si>
    <t>02\Коз\5</t>
  </si>
  <si>
    <t>02\Коз\1</t>
  </si>
  <si>
    <t>01\Коз\1</t>
  </si>
  <si>
    <t>01\Коз\2</t>
  </si>
  <si>
    <t>01\Коз\3</t>
  </si>
  <si>
    <t>01\Коз\4</t>
  </si>
  <si>
    <t>01\Коз\5</t>
  </si>
  <si>
    <t>04\Коз\1</t>
  </si>
  <si>
    <t>05\Коз\1</t>
  </si>
  <si>
    <t>05\Коз\2</t>
  </si>
  <si>
    <t>05\Коз\3</t>
  </si>
  <si>
    <t>05\Коз\5</t>
  </si>
  <si>
    <t>05\Коз\4</t>
  </si>
  <si>
    <t>09\Коз\2</t>
  </si>
  <si>
    <t>09\Коз\1</t>
  </si>
  <si>
    <t>06\Коз\1</t>
  </si>
  <si>
    <t>06\Коз\2</t>
  </si>
  <si>
    <t>06\Коз\3</t>
  </si>
  <si>
    <t>06\Коз\4</t>
  </si>
  <si>
    <t>06\Коз\5</t>
  </si>
  <si>
    <t>06\Коз\6</t>
  </si>
  <si>
    <t>06\Коз\7</t>
  </si>
  <si>
    <t>06\Коз\8</t>
  </si>
  <si>
    <t>06\Коз\9</t>
  </si>
  <si>
    <t>07\Коз\1</t>
  </si>
  <si>
    <t>08\Коз\1</t>
  </si>
  <si>
    <t>08\Коз\2</t>
  </si>
  <si>
    <t>08\Коз\3</t>
  </si>
  <si>
    <t>08\Коз\4</t>
  </si>
  <si>
    <t>08\Коз\5</t>
  </si>
  <si>
    <t>10\Коз\1</t>
  </si>
  <si>
    <t>10\Коз\2</t>
  </si>
  <si>
    <t>11\Коз\1</t>
  </si>
  <si>
    <t>11\Коз\2</t>
  </si>
  <si>
    <t>11\Коз\3</t>
  </si>
  <si>
    <t>02\Пех\1</t>
  </si>
  <si>
    <t>02\Пех\2</t>
  </si>
  <si>
    <t>02\Пех\3</t>
  </si>
  <si>
    <t>01\Пех\8</t>
  </si>
  <si>
    <t>01\Пех\7</t>
  </si>
  <si>
    <t>03\Пех\6</t>
  </si>
  <si>
    <t>01\Пех\3</t>
  </si>
  <si>
    <t>01\Пех\4</t>
  </si>
  <si>
    <t>01\Пех\1</t>
  </si>
  <si>
    <t>01\Пех\2</t>
  </si>
  <si>
    <t>01\Пех\5</t>
  </si>
  <si>
    <t>01\Пех\6</t>
  </si>
  <si>
    <t>03\Пех\1</t>
  </si>
  <si>
    <t>03\Пех\2</t>
  </si>
  <si>
    <t>03\Пех\4</t>
  </si>
  <si>
    <t>03\Пех\3</t>
  </si>
  <si>
    <t>03\Пех\5</t>
  </si>
  <si>
    <t>02\Пех\6</t>
  </si>
  <si>
    <t>02\Пех\5</t>
  </si>
  <si>
    <t>02\Пех\4</t>
  </si>
  <si>
    <t>04\Пех\1</t>
  </si>
  <si>
    <t>05\Пех\1</t>
  </si>
  <si>
    <t>05\Пех\2</t>
  </si>
  <si>
    <t>05\Пех\3</t>
  </si>
  <si>
    <t>05\Пех\4</t>
  </si>
  <si>
    <t>09\Пех\1</t>
  </si>
  <si>
    <t>09\Пех\2</t>
  </si>
  <si>
    <t>06\Пех\2</t>
  </si>
  <si>
    <t>07\Пех\1</t>
  </si>
  <si>
    <t>07\Пех\2</t>
  </si>
  <si>
    <t>07\Пех\3</t>
  </si>
  <si>
    <t>08\Пех\1</t>
  </si>
  <si>
    <t>08\Пех\2</t>
  </si>
  <si>
    <t>08\Пех\3</t>
  </si>
  <si>
    <t>08\Пех\4</t>
  </si>
  <si>
    <t>09\Пех\3</t>
  </si>
  <si>
    <t>06\Пех\1</t>
  </si>
  <si>
    <t>10\Пех\1</t>
  </si>
  <si>
    <t>10\Пех\2</t>
  </si>
  <si>
    <t>10\Пех\3</t>
  </si>
  <si>
    <t>11\Пех\1</t>
  </si>
  <si>
    <t>11\Пех\2</t>
  </si>
  <si>
    <t>02\Хл\1</t>
  </si>
  <si>
    <t>02\Хл\2</t>
  </si>
  <si>
    <t>02\Хл\3</t>
  </si>
  <si>
    <t>01\Хл\19</t>
  </si>
  <si>
    <t>01\Хл\20</t>
  </si>
  <si>
    <t>01\Хл\16</t>
  </si>
  <si>
    <t>01\Хл\15</t>
  </si>
  <si>
    <t>01\Хл\17</t>
  </si>
  <si>
    <t>01\Хл\18</t>
  </si>
  <si>
    <t>01\Хл\14</t>
  </si>
  <si>
    <t>01\Хл\1</t>
  </si>
  <si>
    <t>01\Хл\2</t>
  </si>
  <si>
    <t>01\Хл\3</t>
  </si>
  <si>
    <t>01\Хл\4</t>
  </si>
  <si>
    <t>01\Хл\5</t>
  </si>
  <si>
    <t>01\Хл\6</t>
  </si>
  <si>
    <t>01\Хл\7</t>
  </si>
  <si>
    <t>01\Хл\8</t>
  </si>
  <si>
    <t>01\Хл\9</t>
  </si>
  <si>
    <t>01\Хл\10</t>
  </si>
  <si>
    <t>01\Хл\11</t>
  </si>
  <si>
    <t>01\Хл\12</t>
  </si>
  <si>
    <t>01\Хл\13</t>
  </si>
  <si>
    <t>02\Хл\4</t>
  </si>
  <si>
    <t>02\Хл\5</t>
  </si>
  <si>
    <t>02\Хл\6</t>
  </si>
  <si>
    <t>53, 52</t>
  </si>
  <si>
    <t>02\Хл\8</t>
  </si>
  <si>
    <t>40, 41</t>
  </si>
  <si>
    <t>02\Хл\9</t>
  </si>
  <si>
    <t>40, 41, 46</t>
  </si>
  <si>
    <t>02\Хл\10</t>
  </si>
  <si>
    <t>02\Хл\7</t>
  </si>
  <si>
    <t>02\Хл\12</t>
  </si>
  <si>
    <t>02\Хл\11</t>
  </si>
  <si>
    <t>07\Хл\1</t>
  </si>
  <si>
    <t>07\Хл\2</t>
  </si>
  <si>
    <t>05\Хл\2</t>
  </si>
  <si>
    <t>05\Хл\1</t>
  </si>
  <si>
    <t>05\Хл\5</t>
  </si>
  <si>
    <t>05\Хл\4</t>
  </si>
  <si>
    <t>05\Хл\7</t>
  </si>
  <si>
    <t>05\Хл\6</t>
  </si>
  <si>
    <t>05\Хл\3</t>
  </si>
  <si>
    <t>05\Хл\8</t>
  </si>
  <si>
    <t>03\Хл\8</t>
  </si>
  <si>
    <t>03\Хл\9</t>
  </si>
  <si>
    <t>03\Хл\10</t>
  </si>
  <si>
    <t>03\Хл\7</t>
  </si>
  <si>
    <t>03\Хл\6</t>
  </si>
  <si>
    <t>09\Хл\2</t>
  </si>
  <si>
    <t>03\Хл\2</t>
  </si>
  <si>
    <t>03\Хл\1</t>
  </si>
  <si>
    <t>03\Хл\3</t>
  </si>
  <si>
    <t>03\Хл\4</t>
  </si>
  <si>
    <t>03\Хл\5</t>
  </si>
  <si>
    <t>09\Хл\1</t>
  </si>
  <si>
    <t>11\Хл\1</t>
  </si>
  <si>
    <t>51 кв (4 вид) 0 діл.</t>
  </si>
  <si>
    <t>11\Хл\2</t>
  </si>
  <si>
    <t>06\Хл\1</t>
  </si>
  <si>
    <t>06\Хл\2</t>
  </si>
  <si>
    <t>06\Хл\3</t>
  </si>
  <si>
    <t>06\Хл\4</t>
  </si>
  <si>
    <t>06\Хл\5</t>
  </si>
  <si>
    <t>06\Хл\6</t>
  </si>
  <si>
    <t>06\Хл\9</t>
  </si>
  <si>
    <t>06\Хл\7</t>
  </si>
  <si>
    <t>06\Хл\8</t>
  </si>
  <si>
    <t>06\Хл\10</t>
  </si>
  <si>
    <t>06\Хл\11</t>
  </si>
  <si>
    <t>06\Хл\12</t>
  </si>
  <si>
    <t>07\Хл\3</t>
  </si>
  <si>
    <t>07\Хл\4</t>
  </si>
  <si>
    <t>07\Хл\5</t>
  </si>
  <si>
    <t>07\Хл\6</t>
  </si>
  <si>
    <t>07\Хл\7</t>
  </si>
  <si>
    <t>07\Хл\8</t>
  </si>
  <si>
    <t>07\Хл\9</t>
  </si>
  <si>
    <t>07\Хл\10</t>
  </si>
  <si>
    <t>07\Хл\11</t>
  </si>
  <si>
    <t>08\Хл\1</t>
  </si>
  <si>
    <t>08\Хл\2</t>
  </si>
  <si>
    <t>08\Хл\3</t>
  </si>
  <si>
    <t>08\Хл\4</t>
  </si>
  <si>
    <t>08\Хл\5</t>
  </si>
  <si>
    <t>08\Хл\6</t>
  </si>
  <si>
    <t>08\Хл\8</t>
  </si>
  <si>
    <t>08\Хл\7</t>
  </si>
  <si>
    <t>08\Хл\9</t>
  </si>
  <si>
    <t>08\Хл\10</t>
  </si>
  <si>
    <t>08\Хл\11</t>
  </si>
  <si>
    <t>08\Хл\12</t>
  </si>
  <si>
    <t>10\Хл\1</t>
  </si>
  <si>
    <t>10\Хл\3</t>
  </si>
  <si>
    <t>10\Хл\2</t>
  </si>
  <si>
    <t>10\Хл\4</t>
  </si>
  <si>
    <t>10\Хл\5</t>
  </si>
  <si>
    <t>10\Хл\6</t>
  </si>
  <si>
    <t>10\Хл\7</t>
  </si>
  <si>
    <t>10\Хл\8</t>
  </si>
  <si>
    <t>10\Хл\9</t>
  </si>
  <si>
    <t>10\Хл\10</t>
  </si>
  <si>
    <t>86 кв (5 вид) 0 діл.</t>
  </si>
  <si>
    <t>11\Хл\3</t>
  </si>
  <si>
    <t>11\Шп\4</t>
  </si>
  <si>
    <t>01\Шп\1</t>
  </si>
  <si>
    <t>01\Шп\2</t>
  </si>
  <si>
    <t>01\Шп\3</t>
  </si>
  <si>
    <t>01\Шп\4</t>
  </si>
  <si>
    <t>01\Шп\5</t>
  </si>
  <si>
    <t>01\Шп\6</t>
  </si>
  <si>
    <t>01\Шп\7</t>
  </si>
  <si>
    <t>01\Шп\8</t>
  </si>
  <si>
    <t>01\Шп\9</t>
  </si>
  <si>
    <t>01\Шп\10</t>
  </si>
  <si>
    <t>01\Шп\13</t>
  </si>
  <si>
    <t>01\Шп\12</t>
  </si>
  <si>
    <t>01\Шп\11</t>
  </si>
  <si>
    <t>02\Шп\1</t>
  </si>
  <si>
    <t>02\Шп\2</t>
  </si>
  <si>
    <t>02\Шп\3</t>
  </si>
  <si>
    <t>02\Шп\4</t>
  </si>
  <si>
    <t>02\Шп\5</t>
  </si>
  <si>
    <t>02\Шп\6</t>
  </si>
  <si>
    <t>02\Шп\7</t>
  </si>
  <si>
    <t>02\Шп\9</t>
  </si>
  <si>
    <t>02\Шп\8</t>
  </si>
  <si>
    <t>02\Шп\10</t>
  </si>
  <si>
    <t>02\Шп\11</t>
  </si>
  <si>
    <t>05\Шп\2</t>
  </si>
  <si>
    <t>05\Шп\1</t>
  </si>
  <si>
    <t>05\Шп\6</t>
  </si>
  <si>
    <t>05\Шп\5</t>
  </si>
  <si>
    <t>05\Шп\3</t>
  </si>
  <si>
    <t>05\Шп\4</t>
  </si>
  <si>
    <t>05\Шп\7</t>
  </si>
  <si>
    <t>03\Віл\1</t>
  </si>
  <si>
    <t>09\Шп\1</t>
  </si>
  <si>
    <t>10\Шп\3</t>
  </si>
  <si>
    <t>10\Шп\1</t>
  </si>
  <si>
    <t>03\Шп\3</t>
  </si>
  <si>
    <t>03\Шп\1</t>
  </si>
  <si>
    <t>03\Шп\4</t>
  </si>
  <si>
    <t>03\Шп\5</t>
  </si>
  <si>
    <t>03\Шп\2</t>
  </si>
  <si>
    <t>06\Шп\2</t>
  </si>
  <si>
    <t>06\Шп\3</t>
  </si>
  <si>
    <t>06\Шп\4</t>
  </si>
  <si>
    <t>06\Шп\1</t>
  </si>
  <si>
    <t>07\Шп\1</t>
  </si>
  <si>
    <t>07\Шп\2</t>
  </si>
  <si>
    <t>07\Шп\3</t>
  </si>
  <si>
    <t>07\Шп\4</t>
  </si>
  <si>
    <t>07\Шп\10</t>
  </si>
  <si>
    <t>07\Шп\5</t>
  </si>
  <si>
    <t>07\Шп\6</t>
  </si>
  <si>
    <t>07\Шп\7</t>
  </si>
  <si>
    <t>07\Шп\8</t>
  </si>
  <si>
    <t>07\Шп\9</t>
  </si>
  <si>
    <t>04\Шп\1</t>
  </si>
  <si>
    <t>04\Шп\4</t>
  </si>
  <si>
    <t>04\Шп\2</t>
  </si>
  <si>
    <t>04\Шп\3</t>
  </si>
  <si>
    <t>04\Шп\5</t>
  </si>
  <si>
    <t>04\Шп\6</t>
  </si>
  <si>
    <t>04\Шп\7</t>
  </si>
  <si>
    <t>08\Шп\1</t>
  </si>
  <si>
    <t>08\Шп\2</t>
  </si>
  <si>
    <t>08\Шп\3</t>
  </si>
  <si>
    <t>08\Шп\4</t>
  </si>
  <si>
    <t>08\Шп\5</t>
  </si>
  <si>
    <t>08\Шп\6</t>
  </si>
  <si>
    <t>08\Шп\7</t>
  </si>
  <si>
    <t>08\Шп\8</t>
  </si>
  <si>
    <t>08\Шп\9</t>
  </si>
  <si>
    <t>08\Шп\10</t>
  </si>
  <si>
    <t>08\Шп\11</t>
  </si>
  <si>
    <t>08\Шп\12</t>
  </si>
  <si>
    <t>10\Шп\18</t>
  </si>
  <si>
    <t>10\Шп\4</t>
  </si>
  <si>
    <t>10\Шп\5</t>
  </si>
  <si>
    <t>10\Шп\2</t>
  </si>
  <si>
    <t>10\Шп\6</t>
  </si>
  <si>
    <t>10\Шп\7</t>
  </si>
  <si>
    <t>10\Шп\8</t>
  </si>
  <si>
    <t>10\Шп\9</t>
  </si>
  <si>
    <t>10\Шп\10</t>
  </si>
  <si>
    <t>10\Шп\11</t>
  </si>
  <si>
    <t>10\Шп\12</t>
  </si>
  <si>
    <t>10\Шп\13</t>
  </si>
  <si>
    <t>10\Шп\14</t>
  </si>
  <si>
    <t>10\Шп\15</t>
  </si>
  <si>
    <t>10\Шп\16</t>
  </si>
  <si>
    <t>10\Шп\17</t>
  </si>
  <si>
    <t>09\Шп\1_9</t>
  </si>
  <si>
    <t>11\Шп\1</t>
  </si>
  <si>
    <t>11\Шп\2</t>
  </si>
  <si>
    <t>11\Шп\3</t>
  </si>
  <si>
    <t>11\Шп\5</t>
  </si>
  <si>
    <t>11\Шп\6</t>
  </si>
  <si>
    <t>11\Шп\7</t>
  </si>
  <si>
    <t>Приймання лісопродукції (універсальний звіт).xls</t>
  </si>
  <si>
    <t>Приймання</t>
  </si>
  <si>
    <t>Параметры:</t>
  </si>
  <si>
    <t>Лісорубний квиток</t>
  </si>
  <si>
    <t>Неділова</t>
  </si>
  <si>
    <t>Хлисти</t>
  </si>
  <si>
    <t>Лісорубний квиток 434831 от 04.06.2013 17:58:15</t>
  </si>
  <si>
    <t>Лісорубний квиток 434883 от 24.09.2013 12:07:33</t>
  </si>
  <si>
    <t>Лісорубний квиток 353232 от 27.02.2013 10:41:01</t>
  </si>
  <si>
    <t>Лісорубний квиток 434832 от 04.06.2013 17:49:02</t>
  </si>
  <si>
    <t>Лісорубний квиток 434859 от 15.07.2013 10:55:13</t>
  </si>
  <si>
    <t>Лісорубний квиток 434887 от 24.09.2013 11:57:55</t>
  </si>
  <si>
    <t>Лісорубний квиток 434824 от 24.05.2013 09:19:41</t>
  </si>
  <si>
    <t>Лісорубний квиток 434842 от 14.06.2013 20:44:45</t>
  </si>
  <si>
    <t>Лісорубний квиток 434866 от 25.07.2013 14:39:08</t>
  </si>
  <si>
    <t>Лісорубний квиток 434899 от 21.10.2013 09:17:16</t>
  </si>
  <si>
    <t>Лісорубний квиток 434884 от 19.09.2013 08:40:58</t>
  </si>
  <si>
    <t>Лісорубний квиток 434867 от 08.08.2013 09:03:06</t>
  </si>
  <si>
    <t>Лісорубний квиток 434875 от 20.08.2013 11:29:36</t>
  </si>
  <si>
    <t>Лісорубний квиток 434885 от 19.09.2013 08:48:45</t>
  </si>
  <si>
    <t>Лісорубний квиток 434849 от 09.07.2013 09:47:17</t>
  </si>
  <si>
    <t>Лісорубний квиток 434877 от 28.08.2013 14:21:57</t>
  </si>
  <si>
    <t>Лісорубний квиток 434847 от 26.06.2013 12:24:02</t>
  </si>
  <si>
    <t>Лісорубний квиток 434907 от 05.11.2013 14:07:01</t>
  </si>
  <si>
    <t>Лісорубний квиток 434903 от 01.11.2013 12:25:47</t>
  </si>
  <si>
    <t>Лісорубний квиток 353183 от 04.01.2013 15:02:31</t>
  </si>
  <si>
    <t>Лісорубний квиток 353206 от 05.02.2013 10:24:40</t>
  </si>
  <si>
    <t>Лісорубний квиток 434872 от 19.08.2013 15:16:32</t>
  </si>
  <si>
    <t>Лісорубний квиток 434904 от 28.10.2013 17:04:19</t>
  </si>
  <si>
    <t>Лісорубний квиток 434893 от 11.10.2013 15:52:49</t>
  </si>
  <si>
    <t>Лісорубний квиток 434909 от 12.11.2013 10:17:55</t>
  </si>
  <si>
    <t>Лісорубний квиток 353209 от 07.02.2013 15:32:21</t>
  </si>
  <si>
    <t>Лісорубний квиток 434830 от 31.05.2013 11:27:20</t>
  </si>
  <si>
    <t>Лісорубний квиток 434896 от 21.10.2013 09:25:12</t>
  </si>
  <si>
    <t>Лісорубний квиток 434895 от 14.10.2013 09:08:45</t>
  </si>
  <si>
    <t>Лісорубний квиток 434791 от 19.03.2013 16:12:35</t>
  </si>
  <si>
    <t>Лісорубний квиток 434826 от 24.05.2013 18:10:49</t>
  </si>
  <si>
    <t>Лісорубний квиток 434829 от 31.05.2013 09:12:30</t>
  </si>
  <si>
    <t>Лісорубний квиток 434854 от 09.07.2013 09:56:54</t>
  </si>
  <si>
    <t>Лісорубний квиток 353182 от 03.01.2013 23:29:44</t>
  </si>
  <si>
    <t>Лісорубний квиток 353208 от 07.02.2013 15:45:44</t>
  </si>
  <si>
    <t>Лісорубний квиток 434913 от 18.11.2013 08:39:14</t>
  </si>
  <si>
    <t>Лісорубний квиток 434897 от 18.10.2013 16:34:47</t>
  </si>
  <si>
    <t>Лісорубний квиток 434871 от 28.08.2013 13:47:17</t>
  </si>
  <si>
    <t>Лісорубний квиток 434905 от 08.11.2013 13:21:54</t>
  </si>
  <si>
    <t>Лісорубний квиток 434894 от 14.10.2013 09:19:58</t>
  </si>
  <si>
    <t>Лісорубний квиток 434850 от 09.07.2013 09:53:21</t>
  </si>
  <si>
    <t>Лісорубний квиток 434838 от 14.06.2013 08:56:14</t>
  </si>
  <si>
    <t>Лісорубний квиток 434889 от 30.09.2013 09:24:53</t>
  </si>
  <si>
    <t>Лісорубний квиток 434906 от 08.11.2013 13:23:25</t>
  </si>
  <si>
    <t>Лісорубний квиток 353192 от 06.01.2013 18:24:07</t>
  </si>
  <si>
    <t>Лісорубний квиток 434833 от 04.06.2013 17:57:43</t>
  </si>
  <si>
    <t>Лісорубний квиток 434873 от 20.08.2013 14:08:12</t>
  </si>
  <si>
    <t>Лісорубний квиток 434879 от 30.09.2013 09:36:11</t>
  </si>
  <si>
    <t>Лісорубний квиток 353223 от 27.02.2013 08:54:05</t>
  </si>
  <si>
    <t>Лісорубний квиток 434874 от 23.08.2013 17:43:42</t>
  </si>
  <si>
    <t>Лісорубний квиток 434901 от 08.11.2013 13:10:21</t>
  </si>
  <si>
    <t>Лісорубний квиток 434910 от 12.11.2013 11:30:36</t>
  </si>
  <si>
    <t>Группа</t>
  </si>
  <si>
    <t>Підрозділ</t>
  </si>
  <si>
    <t>Нумерация</t>
  </si>
  <si>
    <t>Сокр</t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</si>
  <si>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</si>
  <si>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</si>
  <si>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</si>
  <si>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Лісництві</t>
  </si>
  <si>
    <t>Кат</t>
  </si>
  <si>
    <t>Лисяного С.І.</t>
  </si>
  <si>
    <t>Лисяний С.І.</t>
  </si>
  <si>
    <t>Яровенко В.О.</t>
  </si>
  <si>
    <t>Катерінопільському</t>
  </si>
  <si>
    <t>Коз</t>
  </si>
  <si>
    <t>Козачанського Лісництва</t>
  </si>
  <si>
    <t>Полянский О.С.</t>
  </si>
  <si>
    <t>Фіцайло Л.О.</t>
  </si>
  <si>
    <t>Козачанському</t>
  </si>
  <si>
    <t>Віл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</si>
  <si>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</si>
  <si>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</si>
  <si>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</si>
  <si>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</si>
  <si>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</si>
  <si>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</t>
  </si>
  <si>
    <t>Пехівського Лісництва</t>
  </si>
  <si>
    <t>Музиченко В.О.</t>
  </si>
  <si>
    <t>Бойко М.М.</t>
  </si>
  <si>
    <t>Пехівському</t>
  </si>
  <si>
    <t>Хл</t>
  </si>
  <si>
    <t>Хлипнівського Лісництва</t>
  </si>
  <si>
    <t>Юрченко Б.М.</t>
  </si>
  <si>
    <t>Бабенко С.М.</t>
  </si>
  <si>
    <t>Хлипнівському</t>
  </si>
  <si>
    <t>Шп</t>
  </si>
  <si>
    <t>Шполянського Лісництва</t>
  </si>
  <si>
    <t>Геращенко Б.І.</t>
  </si>
  <si>
    <t>Шполянському</t>
  </si>
  <si>
    <t>Пономаренко Р.В.</t>
  </si>
  <si>
    <t>Андрійченко В.Д.</t>
  </si>
  <si>
    <t>Майборода В.М.</t>
  </si>
  <si>
    <t>Чабан Д.С</t>
  </si>
  <si>
    <t>Савченко О.В.</t>
  </si>
  <si>
    <t>Скрипник Т.М.</t>
  </si>
  <si>
    <t>Шевченко В.І.</t>
  </si>
  <si>
    <t>Іванов В.В.</t>
  </si>
  <si>
    <t>Перевозчиков О.В.</t>
  </si>
  <si>
    <t>Сущенко О.А.</t>
  </si>
  <si>
    <t>Довгань Р.П.</t>
  </si>
  <si>
    <t>Кислиця П.А.</t>
  </si>
  <si>
    <t>Рудас М.Г.</t>
  </si>
  <si>
    <t>Лозовий Ю.Г.</t>
  </si>
  <si>
    <t>Богданов Д. В.</t>
  </si>
  <si>
    <t>Шквиря В.М.</t>
  </si>
  <si>
    <t>Яциник В.О.</t>
  </si>
  <si>
    <t>Харченко А.В.</t>
  </si>
  <si>
    <t>Білоус В.С.</t>
  </si>
  <si>
    <t>Юрченко С.М.</t>
  </si>
  <si>
    <t>Пряжка В.В.</t>
  </si>
  <si>
    <t>Гончар В.В.</t>
  </si>
  <si>
    <t>Дудник В.М.</t>
  </si>
  <si>
    <t>Кулик М.О.</t>
  </si>
  <si>
    <t>Адреса</t>
  </si>
  <si>
    <t xml:space="preserve"> ІПН</t>
  </si>
  <si>
    <t>р/р</t>
  </si>
  <si>
    <t>ЄДРПОУ</t>
  </si>
  <si>
    <t>Договор</t>
  </si>
  <si>
    <t>КоєфПДВ</t>
  </si>
  <si>
    <t>ДатаНачалаРаботи</t>
  </si>
  <si>
    <t>Дереча П.О.</t>
  </si>
  <si>
    <t>Директор</t>
  </si>
  <si>
    <t>Деречі Пилипа Олександровича</t>
  </si>
  <si>
    <t>директора</t>
  </si>
  <si>
    <t xml:space="preserve">директора </t>
  </si>
  <si>
    <t>ПП ТОРЕНС</t>
  </si>
  <si>
    <t>Бабенко О.В.</t>
  </si>
  <si>
    <t>Бабенка Олександра Вікторовича</t>
  </si>
  <si>
    <t>ПП "ТОРЕНС"</t>
  </si>
  <si>
    <t>№38</t>
  </si>
  <si>
    <t>Січень</t>
  </si>
  <si>
    <t>Січні</t>
  </si>
  <si>
    <t>Січня</t>
  </si>
  <si>
    <t>Лютий</t>
  </si>
  <si>
    <t>Лютом</t>
  </si>
  <si>
    <t>Лютого</t>
  </si>
  <si>
    <t>Березень</t>
  </si>
  <si>
    <t>Березні</t>
  </si>
  <si>
    <t>Березня</t>
  </si>
  <si>
    <t>Квітень</t>
  </si>
  <si>
    <t>Квітні</t>
  </si>
  <si>
    <t>Квітня</t>
  </si>
  <si>
    <t>Травень</t>
  </si>
  <si>
    <t>Травні</t>
  </si>
  <si>
    <t>Травня</t>
  </si>
  <si>
    <t>Червень</t>
  </si>
  <si>
    <t>Червні</t>
  </si>
  <si>
    <t>Червня</t>
  </si>
  <si>
    <t>Липень</t>
  </si>
  <si>
    <t>Липні</t>
  </si>
  <si>
    <t>Липня</t>
  </si>
  <si>
    <t>Серпень</t>
  </si>
  <si>
    <t>Серпні</t>
  </si>
  <si>
    <t>Серпня</t>
  </si>
  <si>
    <t>Вересень</t>
  </si>
  <si>
    <t>Вересні</t>
  </si>
  <si>
    <t>Вересня</t>
  </si>
  <si>
    <t>Жовтень</t>
  </si>
  <si>
    <t>Жовтні</t>
  </si>
  <si>
    <t>Жовтня</t>
  </si>
  <si>
    <t>Листопад</t>
  </si>
  <si>
    <t>Листопаді</t>
  </si>
  <si>
    <t>Листопада</t>
  </si>
  <si>
    <t>Грудень</t>
  </si>
  <si>
    <t>Грудні</t>
  </si>
  <si>
    <t>Грудня</t>
  </si>
  <si>
    <t>{ДиректорЛГ}</t>
  </si>
  <si>
    <t>Місто</t>
  </si>
  <si>
    <t>А.П. Проценко</t>
  </si>
  <si>
    <t>Державне підприємство «Звенигородське лісове господарство»</t>
  </si>
  <si>
    <t>Проценко Анатолій Петрович</t>
  </si>
  <si>
    <t>Статуту підприємства</t>
  </si>
  <si>
    <t>Проценко Анатолія Петровича</t>
  </si>
  <si>
    <t>00993426</t>
  </si>
  <si>
    <t>м. Звенигородка</t>
  </si>
  <si>
    <t xml:space="preserve"> </t>
  </si>
  <si>
    <r>
      <t>Лісництв</t>
    </r>
    <r>
      <rPr>
        <b/>
        <sz val="10"/>
        <color indexed="10"/>
        <rFont val="Arial"/>
        <family val="2"/>
        <charset val="204"/>
      </rPr>
      <t>а</t>
    </r>
  </si>
  <si>
    <t>Катеринопільського Лісництва</t>
  </si>
  <si>
    <t>Баліцкий О.М.</t>
  </si>
  <si>
    <t>Лісорубний квиток 434869 от 08.08.2013 09:06:50</t>
  </si>
  <si>
    <t>Поліщук П.В.</t>
  </si>
  <si>
    <t>Сингай М.В.</t>
  </si>
  <si>
    <t>Лісорубний квиток 434840 от 14.06.2013 08:49:19</t>
  </si>
  <si>
    <t>Лісорубний квиток 434863 от 31.07.2013 15:01:46</t>
  </si>
  <si>
    <t>Лісорубний квиток 434892 от 14.10.2013 08:56:16</t>
  </si>
  <si>
    <t>Поліщук М.В.</t>
  </si>
  <si>
    <t>Штанько Д.В.</t>
  </si>
  <si>
    <t>Михальченко О.В.</t>
  </si>
  <si>
    <t>Катриченко Г.М.</t>
  </si>
  <si>
    <t>Жоломко А.В.</t>
  </si>
  <si>
    <t>Габелок В.Ф.</t>
  </si>
  <si>
    <t>Коломієць П.М.</t>
  </si>
  <si>
    <t>Лісорубний квиток 434912 от 19.11.2013 16:35:06</t>
  </si>
  <si>
    <t>Лісорубний квиток 353191 от 29.12.2012 08:07:08</t>
  </si>
  <si>
    <t>Романченко С.В.</t>
  </si>
  <si>
    <t>Лісорубний квиток 353234 от 11.03.2013 09:46:10</t>
  </si>
  <si>
    <t>Завалій В.П.</t>
  </si>
  <si>
    <t>Кальченко В.М.</t>
  </si>
  <si>
    <t>Тихолоз С.Т.</t>
  </si>
  <si>
    <t>Лісорубний квиток 434868 от 08.08.2013 08:53:35</t>
  </si>
  <si>
    <t>Дяченко Ф.Т.</t>
  </si>
  <si>
    <t>Ляпун С.І.</t>
  </si>
  <si>
    <t>Юрченко В.Б.</t>
  </si>
  <si>
    <t>Павлюк В.В.</t>
  </si>
  <si>
    <t>Скрипник С.І.</t>
  </si>
  <si>
    <t>Перегон В.М.</t>
  </si>
  <si>
    <t>Коломієць Ю.М.</t>
  </si>
  <si>
    <t>Хорвата А.Н.</t>
  </si>
  <si>
    <t xml:space="preserve">Хорват А.Н. </t>
  </si>
  <si>
    <t>Полянського О.С.</t>
  </si>
  <si>
    <t>Повне Віконавець</t>
  </si>
  <si>
    <t>Сокр Виконавець</t>
  </si>
  <si>
    <t>Посада Виконавець</t>
  </si>
  <si>
    <t>ПІБ Виконавець</t>
  </si>
  <si>
    <t>Скрипник І.І.</t>
  </si>
  <si>
    <t>Івченко О.М.</t>
  </si>
  <si>
    <t>Тихоненко С.В.</t>
  </si>
  <si>
    <t>Початок періоду: 01.11.2013 00:00:00</t>
  </si>
  <si>
    <t>Кінець періоду: 30.11.2013 23:59:59</t>
  </si>
  <si>
    <t>Лісозаготівельник.Наименование</t>
  </si>
  <si>
    <t>Договір, Номер договору</t>
  </si>
  <si>
    <t>Підряд/наряд-акт ЧР-165000-00226 от 04.06.2013 17:36:05, 05\Віл\9</t>
  </si>
  <si>
    <t>Підряд/наряд-акт ЧР-165000-00228 от 04.06.2013 17:38:12, 05\Віл\11</t>
  </si>
  <si>
    <t>Підряд/наряд-акт ЧР-165000-00363 от 29.09.2013 10:19:06, 09\Віл\3</t>
  </si>
  <si>
    <t>Підряд/наряд-акт ЧР-165000-00133 от 28.02.2013 08:29:40, 02\Віл\10</t>
  </si>
  <si>
    <t>Підряд/наряд-акт ЧР-165000-00320 от 19.08.2013 15:03:26, 08\Віл\8</t>
  </si>
  <si>
    <t>Підряд/наряд-акт ЧР-165000-00249 от 14.06.2013 09:05:09, 06\Віл\1</t>
  </si>
  <si>
    <t>Підряд/наряд-акт ЧР-165000-00313 от 08.08.2013 16:10:31, 08\Віл\1</t>
  </si>
  <si>
    <t>Підряд/наряд-акт ЧР-165000-00411 от 26.10.2013 14:50:05, 09\Віл\9</t>
  </si>
  <si>
    <t>Підряд/наряд-акт ЧР-165000-00229 от 04.06.2013 17:39:30, 05\Віл\12</t>
  </si>
  <si>
    <t>Підряд/наряд-акт ЧР-165000-00365 от 29.09.2013 10:20:04, 09\Віл\5</t>
  </si>
  <si>
    <t>Підряд/наряд-акт ЧР-165000-00233 от 04.06.2013 17:53:18, 05\Кат\8</t>
  </si>
  <si>
    <t>Підряд/наряд-акт ЧР-165000-00303 от 31.07.2013 13:46:10, 07\Кат\5</t>
  </si>
  <si>
    <t>Підряд/наряд-акт ЧР-165000-00305 от 31.07.2013 13:47:48, 07\Кат\7</t>
  </si>
  <si>
    <t>Підряд/наряд-акт ЧР-165000-00360 от 26.09.2013 10:42:50, 09\Кат\3</t>
  </si>
  <si>
    <t>Підряд/наряд-акт ЧР-165000-00192 от 24.05.2013 09:38:00, 05\Кат\6</t>
  </si>
  <si>
    <t>Підряд/наряд-акт ЧР-165000-00253 от 14.06.2013 20:45:56, 06\Кат\1</t>
  </si>
  <si>
    <t>Підряд/наряд-акт ЧР-165000-00295 от 25.07.2013 14:40:02, 07\Кат\2</t>
  </si>
  <si>
    <t>Підряд/наряд-акт ЧР-165000-00383 от 21.10.2013 09:26:10, 10\Кат\1</t>
  </si>
  <si>
    <t>Підряд/наряд-акт ЧР-165000-00355 от 19.09.2013 08:45:38, 09\Кат\2</t>
  </si>
  <si>
    <t>Підряд/наряд-акт ЧР-165000-00367 от 30.09.2013 10:40:55, 09\Кат\4</t>
  </si>
  <si>
    <t>Підряд/наряд-акт ЧР-165000-00311 от 08.08.2013 14:57:43, 08\Коз\2</t>
  </si>
  <si>
    <t>Підряд/наряд-акт ЧР-165000-00326 от 20.08.2013 11:31:34, 08\Коз\4</t>
  </si>
  <si>
    <t>Підряд/наряд-акт ЧР-165000-00378 от 15.10.2013 14:25:22, 10\Коз\1</t>
  </si>
  <si>
    <t>Підряд/наряд-акт ЧР-165000-00352 от 12.09.2013 15:20:16, 09\Коз\1</t>
  </si>
  <si>
    <t>Підряд/наряд-акт ЧР-165000-00412 от 28.10.2013 11:04:45, 10\Коз\2</t>
  </si>
  <si>
    <t>Підряд/наряд-акт ЧР-165000-00366 от 30.09.2013 10:09:01, 09\Коз\2</t>
  </si>
  <si>
    <t>Підряд/наряд-акт ЧР-165000-00263 от 26.06.2013 12:35:15, 06\Коз\7</t>
  </si>
  <si>
    <t>Підряд/наряд-акт ЧР-165000-00430 от 14.11.2013 09:57:27, 11\Коз\3</t>
  </si>
  <si>
    <t>Підряд/наряд-акт ЧР-165000-00433 от 19.11.2013 16:35:35, 11\Коз\4</t>
  </si>
  <si>
    <t>Підряд/наряд-акт ЧР-165000-00418 от 08.11.2013 11:54:59, 11\Коз\2</t>
  </si>
  <si>
    <t>Підряд/наряд-акт ЧР-165000-00416 от 01.11.2013 12:26:18, 11\Коз\1</t>
  </si>
  <si>
    <t>Підряд/наряд-акт ЧР-165000-00025 от 04.01.2013 15:06:03, 01\Пех\2</t>
  </si>
  <si>
    <t>Підряд/наряд-акт ЧР-165000-00090 от 05.02.2013 16:01:28, 02\Пех\2</t>
  </si>
  <si>
    <t>Підряд/наряд-акт ЧР-165000-00089 от 05.02.2013 16:00:48, 02\Пех\1</t>
  </si>
  <si>
    <t>Підряд/наряд-акт ЧР-165000-00325 от 19.08.2013 15:57:54, 08\Пех\4</t>
  </si>
  <si>
    <t>Підряд/наряд-акт ЧР-165000-00413 от 28.10.2013 17:05:34, 10\Пех\3</t>
  </si>
  <si>
    <t>Підряд/наряд-акт ЧР-165000-00026 от 04.01.2013 15:07:27, 01\Пех\3</t>
  </si>
  <si>
    <t>Підряд/наряд-акт ЧР-165000-00137 от 11.03.2013 09:57:28, 03\Пех\1</t>
  </si>
  <si>
    <t>Підряд/наряд-акт ЧР-165000-00138 от 11.03.2013 09:57:58, 03\Пех\2</t>
  </si>
  <si>
    <t>Підряд/наряд-акт ЧР-165000-00140 от 11.03.2013 09:58:41, 03\Пех\4</t>
  </si>
  <si>
    <t>Підряд/наряд-акт ЧР-165000-00377 от 15.10.2013 09:28:42, 10\Пех\1</t>
  </si>
  <si>
    <t>Підряд/наряд-акт ЧР-165000-00421 от 13.11.2013 08:11:02, 11\Пех\2</t>
  </si>
  <si>
    <t>Підряд/наряд-акт ЧР-165000-00095 от 07.02.2013 17:07:10, 02\Пех\3</t>
  </si>
  <si>
    <t>Підряд/наряд-акт ЧР-165000-00217 от 31.05.2013 11:28:48, 05\Пех\4</t>
  </si>
  <si>
    <t>Підряд/наряд-акт ЧР-165000-00384 от 21.10.2013 16:00:46, 10\Пех\2</t>
  </si>
  <si>
    <t>Підряд/наряд-акт ЧР-165000-00420 от 13.11.2013 08:09:59, 11\Пех\1</t>
  </si>
  <si>
    <t>Підряд/наряд-акт ЧР-165000-00388 от 23.10.2013 12:41:44, 10\Хл\7</t>
  </si>
  <si>
    <t>Підряд/наряд-акт ЧР-165000-00386 от 23.10.2013 09:14:18, 10\Хл\5</t>
  </si>
  <si>
    <t>Підряд/наряд-акт ЧР-165000-00152 от 19.03.2013 17:26:05, 03\Хл\8</t>
  </si>
  <si>
    <t>Підряд/наряд-акт ЧР-165000-00203 от 24.05.2013 18:11:51, 05\Хл\1</t>
  </si>
  <si>
    <t>Підряд/наряд-акт ЧР-165000-00213 от 31.05.2013 10:32:30, 05\Хл\4</t>
  </si>
  <si>
    <t>Підряд/наряд-акт ЧР-165000-00214 от 31.05.2013 10:34:03, 05\Хл\5</t>
  </si>
  <si>
    <t>Підряд/наряд-акт ЧР-165000-00215 от 31.05.2013 10:36:52, 05\Хл\6</t>
  </si>
  <si>
    <t>Підряд/наряд-акт ЧР-165000-00387 от 23.10.2013 12:40:56, 10\Хл\6</t>
  </si>
  <si>
    <t>Підряд/наряд-акт ЧР-165000-00275 от 11.07.2013 09:21:00, 07\Хл\2</t>
  </si>
  <si>
    <t>Підряд/наряд-акт ЧР-165000-00390 от 23.10.2013 12:42:16, 10\Хл\9</t>
  </si>
  <si>
    <t>Підряд/наряд-акт ЧР-165000-00014 от 03.01.2013 23:28:50, 01\Хл\2</t>
  </si>
  <si>
    <t>Підряд/наряд-акт ЧР-165000-00094 от 07.02.2013 16:58:00, 02\Хл\3</t>
  </si>
  <si>
    <t>Підряд/наряд-акт ЧР-165000-00308 от 08.08.2013 08:54:55, 08\Хл\1</t>
  </si>
  <si>
    <t>Підряд/наряд-акт ЧР-165000-00429 от 14.11.2013 09:08:56, 11\Хл\2</t>
  </si>
  <si>
    <t>Підряд/наряд-акт ЧР-165000-00216 от 31.05.2013 10:46:39, 05\Хл\7</t>
  </si>
  <si>
    <t>Підряд/наряд-акт ЧР-165000-00385 от 22.10.2013 12:00:19, 10\Хл\4</t>
  </si>
  <si>
    <t>Підряд/наряд-акт ЧР-165000-00415 от 30.10.2013 14:48:17, 10\Хл\10</t>
  </si>
  <si>
    <t>Підряд/наряд-акт ЧР-165000-00431 от 18.11.2013 10:10:51, 11\Хл\3</t>
  </si>
  <si>
    <t>Підряд/наряд-акт ЧР-165000-00347 от 28.08.2013 14:12:40, 08\Хл\10</t>
  </si>
  <si>
    <t>Підряд/наряд-акт ЧР-165000-00428 от 14.11.2013 09:08:22, 11\Хл\1</t>
  </si>
  <si>
    <t>Підряд/наряд-акт ЧР-165000-00432 от 19.11.2013 08:54:02, 11\Хл\4</t>
  </si>
  <si>
    <t>Підряд/наряд-акт ЧР-165000-00376 от 14.10.2013 09:20:45, 10\Шп\8</t>
  </si>
  <si>
    <t>Підряд/наряд-акт ЧР-165000-00414 от 02.09.2013 18:18:52, 09\Шп\1_9</t>
  </si>
  <si>
    <t>Підряд/наряд-акт ЧР-165000-00371 от 08.10.2013 11:27:24, 10\Шп\18</t>
  </si>
  <si>
    <t>Підряд/наряд-акт ЧР-165000-00242 от 14.06.2013 09:00:14, 06\Шп\3</t>
  </si>
  <si>
    <t>Підряд/наряд-акт ЧР-165000-00368 от 01.10.2013 10:08:25, 10\Шп\3</t>
  </si>
  <si>
    <t>Підряд/наряд-акт ЧР-165000-00419 от 11.11.2013 10:28:49, 11\Шп\1</t>
  </si>
  <si>
    <t>Підряд/наряд-акт ЧР-165000-00035 от 07.01.2013 10:26:21, 01\Шп\6</t>
  </si>
  <si>
    <t>Підряд/наряд-акт ЧР-165000-00218 от 04.06.2013 17:07:15, 05\Шп\3</t>
  </si>
  <si>
    <t>Підряд/наряд-акт ЧР-165000-00331 от 20.08.2013 14:14:50, 08\Шп\4</t>
  </si>
  <si>
    <t>Підряд/наряд-акт ЧР-165000-00330 от 20.08.2013 14:14:23, 08\Шп\3</t>
  </si>
  <si>
    <t>Підряд/наряд-акт ЧР-165000-00375 от 11.10.2013 13:43:01, 10\Шп\7</t>
  </si>
  <si>
    <t>Підряд/наряд-акт ЧР-165000-00034 от 07.01.2013 10:25:32, 01\Шп\5</t>
  </si>
  <si>
    <t>Підряд/наряд-акт ЧР-165000-00126 от 27.02.2013 13:13:11, 02\Шп\11</t>
  </si>
  <si>
    <t>Підряд/наряд-акт ЧР-165000-00328 от 20.08.2013 14:13:24, 08\Шп\1</t>
  </si>
  <si>
    <t>Підряд/наряд-акт ЧР-165000-00340 от 23.08.2013 17:45:47, 08\Шп\9</t>
  </si>
  <si>
    <t>Підряд/наряд-акт ЧР-165000-00341 от 23.08.2013 17:46:16, 08\Шп\10</t>
  </si>
  <si>
    <t>Підряд/наряд-акт ЧР-165000-00339 от 23.08.2013 17:45:15, 08\Шп\8</t>
  </si>
  <si>
    <t>Підряд/наряд-акт ЧР-165000-00372 от 09.10.2013 09:29:24, 10\Шп\4</t>
  </si>
  <si>
    <t>Підряд/наряд-акт ЧР-165000-00033 от 07.01.2013 10:24:21, 01\Шп\4</t>
  </si>
  <si>
    <t>Підряд/наряд-акт ЧР-165000-00342 от 23.08.2013 17:46:50, 08\Шп\11</t>
  </si>
  <si>
    <t>Підряд/наряд-акт ЧР-165000-00373 от 09.10.2013 09:35:16, 10\Шп\5</t>
  </si>
  <si>
    <t>Підряд/наряд-акт ЧР-165000-00406 от 24.10.2013 10:04:34, 10\Шп\16</t>
  </si>
  <si>
    <t>Підряд/наряд-акт ЧР-165000-00380 от 11.10.2013 18:35:55, 10\Шп\9</t>
  </si>
  <si>
    <t>Підряд/наряд-акт ЧР-165000-00422 от 13.11.2013 15:16:19, 11\Шп\2</t>
  </si>
  <si>
    <t>Підряд/наряд-акт ЧР-165000-00333 от 20.08.2013 14:15:48, 08\Шп\6</t>
  </si>
  <si>
    <t>Підряд/наряд-акт ЧР-165000-00427 от 13.11.2013 15:32:11, 11\Шп\7</t>
  </si>
  <si>
    <t>Підряд/наряд-акт ЧР-165000-00425 от 13.11.2013 15:17:29, 11\Шп\5</t>
  </si>
  <si>
    <t>Підряд/наряд-акт ЧР-165000-00423 от 13.11.2013 15:16:51, 11\Шп\3</t>
  </si>
  <si>
    <t>Підряд/наряд-акт ЧР-165000-00426 от 13.11.2013 15:17:46, 11\Шп\6</t>
  </si>
  <si>
    <t>Підряд/наряд-акт ЧР-165000-00343 от 23.08.2013 17:47:13, 08\Шп\12</t>
  </si>
  <si>
    <t>Приймання лісопродукції (універсальний звіт)
		Звенигородське ЛГ. 20.11.2013 16:31:52</t>
  </si>
  <si>
    <t>Повне Виконавець</t>
  </si>
  <si>
    <t>Виконавец по умолчанию</t>
  </si>
  <si>
    <t>ЛісКвіток №</t>
  </si>
  <si>
    <t>Акт №</t>
  </si>
  <si>
    <t>від Дата Договора підряду</t>
  </si>
  <si>
    <t>від Дата Акта</t>
  </si>
  <si>
    <t>Дата Договору</t>
  </si>
  <si>
    <t>місяца Договору</t>
  </si>
  <si>
    <t>року Договора</t>
  </si>
  <si>
    <t>Від Виконавця</t>
  </si>
  <si>
    <t>місяці акта</t>
  </si>
  <si>
    <t>місяц акта</t>
  </si>
  <si>
    <t>день акта</t>
  </si>
  <si>
    <t>год акта</t>
  </si>
  <si>
    <t>Заголовки</t>
  </si>
  <si>
    <t>Значения</t>
  </si>
  <si>
    <t>ДП №</t>
  </si>
  <si>
    <t>Замовник</t>
  </si>
  <si>
    <t>Посада</t>
  </si>
  <si>
    <t>&lt;ExcelTable&gt;</t>
  </si>
  <si>
    <t>&lt;ExcelTable&gt;/Таблица Щоденник/$A$1:$I$16/Word</t>
  </si>
  <si>
    <t>від ДатаЛісКвіток</t>
  </si>
  <si>
    <t>Майстра</t>
  </si>
  <si>
    <t>ко</t>
  </si>
  <si>
    <t>р</t>
  </si>
  <si>
    <t>ра</t>
  </si>
  <si>
    <t>ий</t>
  </si>
  <si>
    <t>ого</t>
  </si>
  <si>
    <t>в</t>
  </si>
  <si>
    <t>ва</t>
  </si>
  <si>
    <t>ць</t>
  </si>
  <si>
    <t>ця</t>
  </si>
  <si>
    <t>к</t>
  </si>
  <si>
    <t>ка</t>
  </si>
  <si>
    <t>да</t>
  </si>
  <si>
    <t>ди</t>
  </si>
  <si>
    <t>ай</t>
  </si>
  <si>
    <t>нь</t>
  </si>
  <si>
    <t>ня</t>
  </si>
  <si>
    <t>н</t>
  </si>
  <si>
    <t>на</t>
  </si>
  <si>
    <t>с</t>
  </si>
  <si>
    <t>са</t>
  </si>
  <si>
    <t>ій</t>
  </si>
  <si>
    <t>ці</t>
  </si>
  <si>
    <t>з</t>
  </si>
  <si>
    <t>за</t>
  </si>
  <si>
    <t>ієць</t>
  </si>
  <si>
    <t>ря</t>
  </si>
  <si>
    <t>рі</t>
  </si>
  <si>
    <t>ія</t>
  </si>
  <si>
    <t>Призвіще ІП</t>
  </si>
  <si>
    <t>СокрЛіс</t>
  </si>
  <si>
    <t>Призвіще</t>
  </si>
  <si>
    <t>Ім'я</t>
  </si>
  <si>
    <t>По батькові</t>
  </si>
  <si>
    <t>ая</t>
  </si>
  <si>
    <t>ки</t>
  </si>
  <si>
    <t>Храновський С.О.</t>
  </si>
  <si>
    <t>№ Дозвілу ДПНУ</t>
  </si>
  <si>
    <t>№ Свідоцтва  ДР</t>
  </si>
  <si>
    <t>Називний</t>
  </si>
  <si>
    <t>Давальний</t>
  </si>
  <si>
    <t>Знахідний</t>
  </si>
  <si>
    <t>Орудний</t>
  </si>
  <si>
    <t>Місцевий</t>
  </si>
  <si>
    <t>Кличний</t>
  </si>
  <si>
    <t xml:space="preserve"> Сокр По батькові</t>
  </si>
  <si>
    <t>Сокр Ім'я</t>
  </si>
  <si>
    <t>СокрІП</t>
  </si>
  <si>
    <t>Іванова</t>
  </si>
  <si>
    <t>Поліщука</t>
  </si>
  <si>
    <t>Перевозчикова</t>
  </si>
  <si>
    <t xml:space="preserve">Коломїйця </t>
  </si>
  <si>
    <t>їйця</t>
  </si>
  <si>
    <t>Скрипника</t>
  </si>
  <si>
    <t>Скрипник</t>
  </si>
  <si>
    <t>Родовий ІБ</t>
  </si>
  <si>
    <t>дозвіл № 153.13.71. на підставі заяви власника від 22.02.2013 р. дозвільна справа №84-ДГ від 22.02.2013 р. №71.04.02.0141.13. виданий Держгірпромнагляду України</t>
  </si>
  <si>
    <r>
      <t>дозвіл № 029.13.71. на підставі заяві власника від 01.02.2013, дозвільна справа №15 від 01.02.2013 р.</t>
    </r>
    <r>
      <rPr>
        <b/>
        <sz val="10"/>
        <rFont val="Times New Roman"/>
        <family val="1"/>
        <charset val="204"/>
      </rPr>
      <t xml:space="preserve">, №71.04.02.1799.12 </t>
    </r>
    <r>
      <rPr>
        <sz val="10"/>
        <rFont val="Times New Roman"/>
        <family val="1"/>
        <charset val="204"/>
      </rPr>
      <t xml:space="preserve">, виданий </t>
    </r>
    <r>
      <rPr>
        <b/>
        <sz val="10"/>
        <rFont val="Times New Roman"/>
        <family val="1"/>
        <charset val="204"/>
      </rPr>
      <t>Держгірпромнаглядом України</t>
    </r>
  </si>
  <si>
    <t>в особі від виконавця</t>
  </si>
  <si>
    <t>Таблица Акт</t>
  </si>
  <si>
    <t>Керівника ДЛГ</t>
  </si>
  <si>
    <t>Посади ДЛГ</t>
  </si>
  <si>
    <t>Уровень</t>
  </si>
  <si>
    <t>Подпись</t>
  </si>
  <si>
    <t>Позиция/Макрос</t>
  </si>
  <si>
    <t>Разделитель</t>
  </si>
  <si>
    <t>FaceID</t>
  </si>
  <si>
    <t>Видимость</t>
  </si>
  <si>
    <t>Клавиши</t>
  </si>
  <si>
    <t>Мин</t>
  </si>
  <si>
    <t>Макс</t>
  </si>
  <si>
    <t>Отклонение от мин</t>
  </si>
  <si>
    <t>Отклонение от мах</t>
  </si>
  <si>
    <t>&amp;Работа</t>
  </si>
  <si>
    <t>Создать Договор</t>
  </si>
  <si>
    <t>DokumentShow</t>
  </si>
  <si>
    <t>Создать Таблицу Акта</t>
  </si>
  <si>
    <t>TableShow</t>
  </si>
  <si>
    <t>&amp;Показать\Скрыть ТХ</t>
  </si>
  <si>
    <t>Скрыть Все ТХ</t>
  </si>
  <si>
    <t>СкрытьВсеЛисты</t>
  </si>
  <si>
    <t>Показать Все ТХ</t>
  </si>
  <si>
    <t>ОтобразитьВсеЛисты</t>
  </si>
  <si>
    <t>Скрыть ТХ по ліс-ву</t>
  </si>
  <si>
    <t>СкрытьЛистыЛісВО</t>
  </si>
  <si>
    <t>Показать ТХ по ліс-ву</t>
  </si>
  <si>
    <t>ОтобразитьВсеЛісВО</t>
  </si>
  <si>
    <t>Печать</t>
  </si>
  <si>
    <t>Задать область печати</t>
  </si>
  <si>
    <t>ОбластьПечатиЗадать</t>
  </si>
  <si>
    <t>Печать 1 копия</t>
  </si>
  <si>
    <t>Печать1_1</t>
  </si>
  <si>
    <t>&amp;Полезности</t>
  </si>
  <si>
    <t>Просмотр Формул</t>
  </si>
  <si>
    <t>FormulaViewOn</t>
  </si>
  <si>
    <t>Початок робіт</t>
  </si>
  <si>
    <t>№ 36775906 № св. 052897</t>
  </si>
  <si>
    <t>№ 2973118134 № св.131644</t>
  </si>
  <si>
    <t>МФО</t>
  </si>
  <si>
    <t xml:space="preserve"> Черкаська обл.м. Звенигородський р-н  с.Козацьке пров.Жовтневий,буд 1А.,20240</t>
  </si>
  <si>
    <t>№ 26001110547  в Звенигородському відділенні ПАТ АБ «Укргазбанк»,</t>
  </si>
  <si>
    <t xml:space="preserve"> 320478 св.№ 100247990 под. № 009934223123</t>
  </si>
  <si>
    <r>
      <t>Посад</t>
    </r>
    <r>
      <rPr>
        <sz val="10"/>
        <color indexed="10"/>
        <rFont val="Arial Cyr"/>
        <charset val="204"/>
      </rPr>
      <t>И</t>
    </r>
    <r>
      <rPr>
        <sz val="10"/>
        <rFont val="Arial Cyr"/>
        <charset val="204"/>
      </rPr>
      <t xml:space="preserve"> Кер</t>
    </r>
  </si>
  <si>
    <t>Посада Кер</t>
  </si>
  <si>
    <t>ПовнеЛісгосп</t>
  </si>
  <si>
    <t>ПовнеДиректорЛГ</t>
  </si>
  <si>
    <t>Підстава</t>
  </si>
  <si>
    <t>РД</t>
  </si>
  <si>
    <t>Рубки</t>
  </si>
  <si>
    <t>Дополнительно</t>
  </si>
  <si>
    <t>Примечание</t>
  </si>
  <si>
    <t>Сума Акт</t>
  </si>
  <si>
    <t>ПДВ Акт</t>
  </si>
  <si>
    <t>Всього з ПДВ Акт</t>
  </si>
  <si>
    <t>Площа виконання акт</t>
  </si>
  <si>
    <t>АА №991673</t>
  </si>
  <si>
    <t xml:space="preserve"> 153.13.71</t>
  </si>
  <si>
    <t>029.13.71</t>
  </si>
  <si>
    <t xml:space="preserve"> Черкаська область, Золотоніський р-он с.Вільхи,19736</t>
  </si>
  <si>
    <t>26003054604238   ПАТ КБ "Приватбанк ",МФО 331401</t>
  </si>
  <si>
    <t>Вид шаблона</t>
  </si>
  <si>
    <t>Все</t>
  </si>
  <si>
    <t>Акт</t>
  </si>
  <si>
    <t>Шаблон</t>
  </si>
  <si>
    <t>Путь</t>
  </si>
  <si>
    <t>fAktShow</t>
  </si>
  <si>
    <t>Техкарты</t>
  </si>
  <si>
    <t>&amp;Документ</t>
  </si>
  <si>
    <t>Создать Документ</t>
  </si>
  <si>
    <t>Сума Договір</t>
  </si>
  <si>
    <t>ПДВ Договір</t>
  </si>
  <si>
    <t>Всього з ПДВ Договір</t>
  </si>
  <si>
    <t>СуммаПРП Договір</t>
  </si>
  <si>
    <t>ПДВПРП Договір</t>
  </si>
  <si>
    <t>ВСЬОГОПРП Договір</t>
  </si>
  <si>
    <t>Адреса ДЛГ</t>
  </si>
  <si>
    <t>Код ЄДРПОУ ДЛГ</t>
  </si>
  <si>
    <t>р/р ДЛГ</t>
  </si>
  <si>
    <t>МФО ДЛГ</t>
  </si>
  <si>
    <t>Повне Вик</t>
  </si>
  <si>
    <t>ВО Вик</t>
  </si>
  <si>
    <t>Посвда ВО Вик</t>
  </si>
  <si>
    <t>Посада ВО Вик</t>
  </si>
  <si>
    <t>№ Дог Вик</t>
  </si>
  <si>
    <t>Дата Дог Вик</t>
  </si>
  <si>
    <t>в особі вик</t>
  </si>
  <si>
    <t>Підставі Вик</t>
  </si>
  <si>
    <t>Адреса Вик</t>
  </si>
  <si>
    <t>р/р Вик</t>
  </si>
  <si>
    <t>ЄДРПОУ Вик</t>
  </si>
  <si>
    <t>Свідоцтво ПЄП</t>
  </si>
  <si>
    <t>Код ЄДРПОУ Вик</t>
  </si>
  <si>
    <t>ІПН Вик</t>
  </si>
  <si>
    <t xml:space="preserve">О.В. Бабенко </t>
  </si>
  <si>
    <t xml:space="preserve">П.О. Дереча </t>
  </si>
  <si>
    <t>Дата ЛК</t>
  </si>
  <si>
    <t>місяца ЛК</t>
  </si>
  <si>
    <t>року ЛК</t>
  </si>
  <si>
    <t>Дата ПР</t>
  </si>
  <si>
    <t>місяць ПР</t>
  </si>
  <si>
    <t>рік ПР</t>
  </si>
  <si>
    <t>№ п/п</t>
  </si>
  <si>
    <t>Шифр</t>
  </si>
  <si>
    <t>Найменування послуг*</t>
  </si>
  <si>
    <t>Кількість</t>
  </si>
  <si>
    <t>Сума,  грн.</t>
  </si>
  <si>
    <t>А</t>
  </si>
  <si>
    <t>Б</t>
  </si>
  <si>
    <t>В</t>
  </si>
  <si>
    <t>Г</t>
  </si>
  <si>
    <t>Д</t>
  </si>
  <si>
    <t>Е</t>
  </si>
  <si>
    <t>Є</t>
  </si>
  <si>
    <t>м3</t>
  </si>
  <si>
    <t>Звалювання дерев, обрізка/обрубка гілок,розкряжування хлистів на сортименти, зачищення сучків, сортування</t>
  </si>
  <si>
    <t xml:space="preserve">                                       Всього вартість послуг</t>
  </si>
  <si>
    <t>Розцінка за одиницю,грн.</t>
  </si>
  <si>
    <t>Один. Виміру</t>
  </si>
  <si>
    <t>Таблица Кошторис</t>
  </si>
  <si>
    <t>Дата ЛК зак-ння</t>
  </si>
  <si>
    <t>місяца ЛК зак-ння</t>
  </si>
  <si>
    <t>року ЛК зак-ння</t>
  </si>
  <si>
    <t>Одиниця виміру</t>
  </si>
  <si>
    <t>Фансировина</t>
  </si>
  <si>
    <t>Балан-си</t>
  </si>
  <si>
    <t>Техси-ровина</t>
  </si>
  <si>
    <t>Дрова</t>
  </si>
  <si>
    <t>Разом</t>
  </si>
  <si>
    <t>1 сорт</t>
  </si>
  <si>
    <t>2 сорт</t>
  </si>
  <si>
    <t>3 сорт</t>
  </si>
  <si>
    <t>Всього</t>
  </si>
  <si>
    <t>рік</t>
  </si>
  <si>
    <t>га</t>
  </si>
  <si>
    <t>Вид користування</t>
  </si>
  <si>
    <t>Вид, спосіб рубання</t>
  </si>
  <si>
    <t>(господарство, склад, повнота, вік)</t>
  </si>
  <si>
    <t>Рельєф</t>
  </si>
  <si>
    <t>Кут схилу</t>
  </si>
  <si>
    <t>Розряд висот</t>
  </si>
  <si>
    <t>Підлісок</t>
  </si>
  <si>
    <t>Умови роботи</t>
  </si>
  <si>
    <t>Середній об’єм хлиста</t>
  </si>
  <si>
    <t>Підлягає вирубці:</t>
  </si>
  <si>
    <t>Всього  ліквідної деревини:</t>
  </si>
  <si>
    <t>відведено в рубку</t>
  </si>
  <si>
    <t>Таксаційна хар-ка лісосіки</t>
  </si>
  <si>
    <t xml:space="preserve">Механічний склад ґрунту </t>
  </si>
  <si>
    <t>Кількість дерев</t>
  </si>
  <si>
    <t>ділової</t>
  </si>
  <si>
    <t>дров</t>
  </si>
  <si>
    <t>хмизу</t>
  </si>
  <si>
    <t>Умови зберігання деревини</t>
  </si>
  <si>
    <t>Найменування послуг (зміст роботи)</t>
  </si>
  <si>
    <t>Обсяг</t>
  </si>
  <si>
    <t>Ціна, грн.</t>
  </si>
  <si>
    <t>Заготівля деревини</t>
  </si>
  <si>
    <t>Чорнобильська зона</t>
  </si>
  <si>
    <t>Гол.пор.</t>
  </si>
  <si>
    <t>Кв-л</t>
  </si>
  <si>
    <t>Виділ</t>
  </si>
  <si>
    <t>Площа,га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</si>
  <si>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</si>
  <si>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</si>
  <si>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</si>
  <si>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</si>
  <si>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</si>
  <si>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</si>
  <si>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</si>
  <si>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</si>
  <si>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</si>
  <si>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</si>
  <si>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</si>
  <si>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</si>
  <si>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</si>
  <si>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</si>
  <si>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</t>
  </si>
  <si>
    <t>Масса на1 га</t>
  </si>
  <si>
    <t>Витрати кбм</t>
  </si>
  <si>
    <t>Витрати хлисти</t>
  </si>
  <si>
    <t>Нелеквид</t>
  </si>
  <si>
    <t>Складання молодняк</t>
  </si>
  <si>
    <t>Номер Карты</t>
  </si>
  <si>
    <t>К.Схилу</t>
  </si>
  <si>
    <t>Дата тарифних ставок</t>
  </si>
  <si>
    <t>ID Карты СокращенноЛісн\Від рубки\Кв\Вид</t>
  </si>
  <si>
    <t>Дата договору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</si>
  <si>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</si>
  <si>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</si>
  <si>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</si>
  <si>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</si>
  <si>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</si>
  <si>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</si>
  <si>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</si>
  <si>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</si>
  <si>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</si>
  <si>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</si>
  <si>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</si>
  <si>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</si>
  <si>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</si>
  <si>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1_1</t>
  </si>
  <si>
    <t>4_1</t>
  </si>
  <si>
    <t>4_2</t>
  </si>
  <si>
    <t>3_1</t>
  </si>
  <si>
    <t>2_5</t>
  </si>
  <si>
    <t>1_3</t>
  </si>
  <si>
    <t>2_1</t>
  </si>
  <si>
    <t>10_1</t>
  </si>
  <si>
    <t>Дуб</t>
  </si>
  <si>
    <t>Сосна</t>
  </si>
  <si>
    <t/>
  </si>
  <si>
    <t>9_1</t>
  </si>
  <si>
    <t>2_2</t>
  </si>
  <si>
    <t>2_4</t>
  </si>
  <si>
    <t>7_1</t>
  </si>
  <si>
    <t>Столбец1</t>
  </si>
  <si>
    <t>Столбец3</t>
  </si>
  <si>
    <t>fВидШаблона</t>
  </si>
  <si>
    <t>fВидРубки</t>
  </si>
  <si>
    <t>fЛісництво</t>
  </si>
  <si>
    <t>fРозрядВисот</t>
  </si>
  <si>
    <t>fУмовиРоботи</t>
  </si>
  <si>
    <t>fПлощадь</t>
  </si>
  <si>
    <t>fКілДерев</t>
  </si>
  <si>
    <t>fСерОбХл</t>
  </si>
  <si>
    <t>ПДВ %</t>
  </si>
  <si>
    <t>Таблица План Заготівлі</t>
  </si>
  <si>
    <t>Таблица Протокол</t>
  </si>
  <si>
    <t>Ясен</t>
  </si>
  <si>
    <t>Клен</t>
  </si>
  <si>
    <t>Вільха</t>
  </si>
  <si>
    <t>Акація</t>
  </si>
  <si>
    <t>Береза</t>
  </si>
  <si>
    <t>Берест</t>
  </si>
  <si>
    <t>Липа</t>
  </si>
  <si>
    <t>Осика</t>
  </si>
  <si>
    <t>Верба</t>
  </si>
  <si>
    <t>Тополя</t>
  </si>
  <si>
    <t>Граб</t>
  </si>
  <si>
    <t>Ялина</t>
  </si>
  <si>
    <t>Черешня</t>
  </si>
  <si>
    <t>Спосіб очищення</t>
  </si>
  <si>
    <t>Особливі умови</t>
  </si>
  <si>
    <t xml:space="preserve">Природоохоронні та лісівничі </t>
  </si>
  <si>
    <t>Вимоги</t>
  </si>
  <si>
    <t>Таблица ТЗ</t>
  </si>
  <si>
    <t>франко-верхній (проміжний) склад</t>
  </si>
  <si>
    <t>Витрати сорт_ручне</t>
  </si>
  <si>
    <t>Витрати хлисти_мех</t>
  </si>
  <si>
    <t>fВитрати_хлисти_мех</t>
  </si>
  <si>
    <t>fВитрати_сорт_ручне</t>
  </si>
  <si>
    <t xml:space="preserve">Заг. Лікв.запас,кбм </t>
  </si>
  <si>
    <t>fНелеквід</t>
  </si>
  <si>
    <t>fЛіквід</t>
  </si>
  <si>
    <t>f№ДП</t>
  </si>
  <si>
    <t>fПочатокРобіт</t>
  </si>
  <si>
    <t>fМастер</t>
  </si>
  <si>
    <t>Техкарта</t>
  </si>
  <si>
    <t>Форма</t>
  </si>
  <si>
    <t>Имя</t>
  </si>
  <si>
    <t>fКвартал</t>
  </si>
  <si>
    <t>fВидел</t>
  </si>
  <si>
    <t>fДілянка</t>
  </si>
  <si>
    <t>fПлощаВиконання</t>
  </si>
  <si>
    <t>fЛісничий</t>
  </si>
  <si>
    <t>fЛісничОГО</t>
  </si>
  <si>
    <t>f№ЛК</t>
  </si>
  <si>
    <t>f№ЛКДата</t>
  </si>
  <si>
    <t>f№ЛКДатаЗак</t>
  </si>
  <si>
    <t>f№ДПДата</t>
  </si>
  <si>
    <t>fПДВпр</t>
  </si>
  <si>
    <t>fСумаДоговір</t>
  </si>
  <si>
    <t>fПДВДоговір</t>
  </si>
  <si>
    <t>fВсьогоДоговір</t>
  </si>
  <si>
    <t>fСумаДоговірПРП</t>
  </si>
  <si>
    <t>fПДВДоговірПРП</t>
  </si>
  <si>
    <t>fВсьогоДоговірПРП</t>
  </si>
  <si>
    <t>fУмовиЗберігання</t>
  </si>
  <si>
    <t>f№Акт</t>
  </si>
  <si>
    <t>f№АктДата</t>
  </si>
  <si>
    <t>fСокр_Виконавець</t>
  </si>
  <si>
    <t>fСокр_Виконавець_Повне</t>
  </si>
  <si>
    <t>fВиконавець_КерПосада</t>
  </si>
  <si>
    <t>fВиконавець_КерПІБ</t>
  </si>
  <si>
    <t>fВиконавець_ПІД_ВідВиконавця</t>
  </si>
  <si>
    <t>fОсобіВідВиконавця</t>
  </si>
  <si>
    <t>fСума</t>
  </si>
  <si>
    <t>fПДВ</t>
  </si>
  <si>
    <t>fВсього</t>
  </si>
  <si>
    <t>fТабл</t>
  </si>
  <si>
    <t>fИмяМастера</t>
  </si>
  <si>
    <t>Заг. Лікв.запас,кбм</t>
  </si>
  <si>
    <t xml:space="preserve">Підготовчі </t>
  </si>
  <si>
    <t>fСокр_Виконавець_Вибір</t>
  </si>
  <si>
    <t>Кулика</t>
  </si>
  <si>
    <t>fДілової</t>
  </si>
  <si>
    <t>fДровяної</t>
  </si>
  <si>
    <t>fРазомПоЛК</t>
  </si>
  <si>
    <t>&lt;ExcelTable&gt;/План Заготівлі РГК/UsedRange/Word</t>
  </si>
  <si>
    <t>&lt;ExcelTable&gt;/План Заготівлі інши/UsedRange/Word</t>
  </si>
  <si>
    <t>Розцінка</t>
  </si>
  <si>
    <t>fПолнаяДіл</t>
  </si>
  <si>
    <t>Вид DOT</t>
  </si>
  <si>
    <t>Комплект</t>
  </si>
  <si>
    <t>fDot</t>
  </si>
  <si>
    <t>Код</t>
  </si>
  <si>
    <t>Ділянка ЕО</t>
  </si>
  <si>
    <t>Баланси</t>
  </si>
  <si>
    <t>3_2</t>
  </si>
  <si>
    <t>13_1</t>
  </si>
  <si>
    <t>6_1</t>
  </si>
  <si>
    <t>ДОГОВІР №</t>
  </si>
  <si>
    <t>Додаток № 2</t>
  </si>
  <si>
    <t>Додаток № 3</t>
  </si>
  <si>
    <t>Додаток № 4</t>
  </si>
  <si>
    <t>Додаток № 6</t>
  </si>
  <si>
    <t>Додаток № 7</t>
  </si>
  <si>
    <t>Продовження Додатку№ 7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</si>
  <si>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</si>
  <si>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</si>
  <si>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</si>
  <si>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</si>
  <si>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</si>
  <si>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</si>
  <si>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</si>
  <si>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</si>
  <si>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</si>
  <si>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1,3,5</t>
  </si>
  <si>
    <t>D10</t>
  </si>
  <si>
    <t>Копий</t>
  </si>
  <si>
    <t>Закладка</t>
  </si>
  <si>
    <t>Наименование</t>
  </si>
  <si>
    <t>Лицо</t>
  </si>
  <si>
    <t>Оборот</t>
  </si>
  <si>
    <t>до Дата ЛК зак-ння</t>
  </si>
  <si>
    <t>Урочище</t>
  </si>
  <si>
    <t>Спилювання дерев з переходом для заправки механізму, очистка місць рубки.</t>
  </si>
  <si>
    <t>Дереча ФОП</t>
  </si>
  <si>
    <t>Додаток № 3  (продовження)</t>
  </si>
  <si>
    <t xml:space="preserve">Додаток № 5 </t>
  </si>
  <si>
    <t>Додаток № 1</t>
  </si>
  <si>
    <t>Квиконавець</t>
  </si>
  <si>
    <t>КошторисЗ</t>
  </si>
  <si>
    <t>КошторисЗ1</t>
  </si>
  <si>
    <t>КошторисЗ2</t>
  </si>
  <si>
    <t>fХмизу</t>
  </si>
  <si>
    <t>fДілової_Вибір</t>
  </si>
  <si>
    <t>fДровяної_Вибір</t>
  </si>
  <si>
    <t>fХмизу_Вибір</t>
  </si>
  <si>
    <t>Уволен</t>
  </si>
  <si>
    <t>Столбец2</t>
  </si>
  <si>
    <t>Таблицы для вставки в шаблон</t>
  </si>
  <si>
    <t>fВсьогоДоговір_Вибір</t>
  </si>
  <si>
    <t>fЛіквід_Вибір</t>
  </si>
  <si>
    <t>fРозцінка</t>
  </si>
  <si>
    <t>Значение</t>
  </si>
  <si>
    <t>Символ</t>
  </si>
  <si>
    <t>a</t>
  </si>
  <si>
    <t>b</t>
  </si>
  <si>
    <t>Между</t>
  </si>
  <si>
    <t>&gt;=</t>
  </si>
  <si>
    <t>&lt;=</t>
  </si>
  <si>
    <t>Содержит</t>
  </si>
  <si>
    <t>=</t>
  </si>
  <si>
    <t>*</t>
  </si>
  <si>
    <t>Не содержит</t>
  </si>
  <si>
    <t>&lt;&gt;</t>
  </si>
  <si>
    <t>Начинается</t>
  </si>
  <si>
    <t>Заканчивается</t>
  </si>
  <si>
    <t>Равно</t>
  </si>
  <si>
    <t>Не равно</t>
  </si>
  <si>
    <t>Больше</t>
  </si>
  <si>
    <t>&gt;</t>
  </si>
  <si>
    <t>Больше или равно</t>
  </si>
  <si>
    <t>Меньше</t>
  </si>
  <si>
    <t>&lt;</t>
  </si>
  <si>
    <t>Меньше или равно</t>
  </si>
  <si>
    <t>Таблица Кошторис хл</t>
  </si>
  <si>
    <t>Прибирання небезпечних дерев,звалювання лісу,обрізка/обрубка гілок із збиранням та спалюванням.</t>
  </si>
  <si>
    <t>fРозцінка_хл</t>
  </si>
  <si>
    <t>fСумаДоговірПРП_хл</t>
  </si>
  <si>
    <t>СуммаПРП Договір хл</t>
  </si>
  <si>
    <t>Розцінка хл</t>
  </si>
  <si>
    <t>Додаток № 4 хл</t>
  </si>
  <si>
    <t>D11</t>
  </si>
  <si>
    <t>fСпосіб_рубання_молодняк</t>
  </si>
  <si>
    <t>Сума Договір хл</t>
  </si>
  <si>
    <t>ПДВ Договір хл</t>
  </si>
  <si>
    <t>ПДВПРП Договір хл</t>
  </si>
  <si>
    <t>ВСЬОГОПРП Договір хл</t>
  </si>
  <si>
    <t>fСума_Договір_хл</t>
  </si>
  <si>
    <t>Cуммы число и пропись</t>
  </si>
  <si>
    <t>Всього з ПДВ Договір хл</t>
  </si>
  <si>
    <t>fПДВ_Договір_хл</t>
  </si>
  <si>
    <t>fМастер_Вибір</t>
  </si>
  <si>
    <t>Разом по ДП</t>
  </si>
  <si>
    <t>ЕСЛИ(fВидШаблона="Молодняк";B45B45+fХмизу;B45+fХмизу)</t>
  </si>
  <si>
    <t>ПРХ</t>
  </si>
  <si>
    <t>ОбьемПР</t>
  </si>
  <si>
    <t>fОбьемПР</t>
  </si>
  <si>
    <t>Рудстійка</t>
  </si>
  <si>
    <t>28.02.2014</t>
  </si>
  <si>
    <t>Морозова ФОП</t>
  </si>
  <si>
    <t>Морозова О.О.</t>
  </si>
  <si>
    <t>ФОП Морозова Ольга Олександрівна</t>
  </si>
  <si>
    <t>Морозової Ольги Олександрівної</t>
  </si>
  <si>
    <t>дозвіл №146.13.71.на підставі заяви власника від 12.06.2013 р.дозвільна справа№914-ДГ від29.03.2013 р.№71.04.02.0258.13., виданий Держгірпромнагляду України</t>
  </si>
  <si>
    <t>Черкаська обл.м.Черкаси,вул Пилипенко,буд.10,кв,116</t>
  </si>
  <si>
    <t>Б131989</t>
  </si>
  <si>
    <t>Техкарта 2015.xls</t>
  </si>
  <si>
    <t>2_0</t>
  </si>
  <si>
    <t>Всього з ПДВ</t>
  </si>
  <si>
    <t>ПДВ</t>
  </si>
  <si>
    <t>Всього без ПДВ</t>
  </si>
  <si>
    <t>Хмиз неліквідний</t>
  </si>
  <si>
    <t>Всього ліквідної</t>
  </si>
  <si>
    <t>Хворост ліквідний 2 грп</t>
  </si>
  <si>
    <t>Хворост ліквідний</t>
  </si>
  <si>
    <t>Хворост ліквідний 1 грп</t>
  </si>
  <si>
    <t>Дрова технологічні (штб) липа 3м</t>
  </si>
  <si>
    <t>Дрова технологічні (штб) липа 2м</t>
  </si>
  <si>
    <t>Дрова технологічні (штб) липа 1м</t>
  </si>
  <si>
    <t>Дрова технологічні (штб) дуб 3м</t>
  </si>
  <si>
    <t>Дрова технологічні (штб) дуб 2м</t>
  </si>
  <si>
    <t>Дрова технологічні (штб) дуб 1м</t>
  </si>
  <si>
    <t>(пусто)</t>
  </si>
  <si>
    <t>Хлист</t>
  </si>
  <si>
    <t>Вартисть робіт, грн./м3</t>
  </si>
  <si>
    <t>Об’єм, 
, м3</t>
  </si>
  <si>
    <t>Кіль-ть, шт.</t>
  </si>
  <si>
    <t>Група діаметрів, D, см.</t>
  </si>
  <si>
    <t>Довжина,</t>
  </si>
  <si>
    <t>Номер кварталу</t>
  </si>
  <si>
    <t>Номер виделу,ділянки</t>
  </si>
  <si>
    <t>Площа ділянки,га</t>
  </si>
  <si>
    <t>Господарство</t>
  </si>
  <si>
    <t>Маса Деревини ,кбм</t>
  </si>
  <si>
    <t>8_0</t>
  </si>
  <si>
    <t>4_0</t>
  </si>
  <si>
    <t>Важкі</t>
  </si>
  <si>
    <t>ПП"Терліс"</t>
  </si>
  <si>
    <t>5_1</t>
  </si>
  <si>
    <t>3_0</t>
  </si>
  <si>
    <t>Пример</t>
  </si>
  <si>
    <t>146.13.71</t>
  </si>
  <si>
    <t>О.О. Морозова</t>
  </si>
  <si>
    <t>26003010868980 ПАТ Укрсоцбанк МФО 300023 код 3081817929</t>
  </si>
  <si>
    <t>№ 3081817929 св.131989</t>
  </si>
  <si>
    <t>дозвіл № 146.13.71. на підставі заяви власника від 12.06.2013 р., дозвільна справа № 914-ДГ від 29.03.2013 р., № 71.04.02.0258.13., виданий Держгірпромнагляду України</t>
  </si>
  <si>
    <t>Б 131989</t>
  </si>
  <si>
    <t>ПП "Терліс"</t>
  </si>
  <si>
    <t>Бабенко Сергій Вікторович</t>
  </si>
  <si>
    <t>дозвіл № 032.13.71.на підставі заяви власника від 04.02.2013 р. дозвільна справа №11 від 04.02.2013 р. №71.04.02.1798.12 виданий Держгірпромнагляду України</t>
  </si>
  <si>
    <t>9620, Черкаська обл., Черкаський район, село Будище, ВУЛИЦЯ ПОЛЬОВА, буд.16</t>
  </si>
  <si>
    <t>№ 37960538 св.131989</t>
  </si>
  <si>
    <t>26007054605705 в КБ "ПриватБанк" МФО 331401</t>
  </si>
  <si>
    <t>№ 37960538 № св. 219508</t>
  </si>
  <si>
    <t>032.13.71</t>
  </si>
  <si>
    <t>АА №601589</t>
  </si>
  <si>
    <t>Яровий О.Я.</t>
  </si>
  <si>
    <t>СРВ</t>
  </si>
  <si>
    <t>1_0</t>
  </si>
  <si>
    <t>10_0</t>
  </si>
  <si>
    <t>7_0</t>
  </si>
  <si>
    <t>11_0</t>
  </si>
  <si>
    <t>5_0</t>
  </si>
  <si>
    <t>9_0</t>
  </si>
  <si>
    <t>Пряжка C.В.</t>
  </si>
  <si>
    <t>Бабенка Сергія Вікторовича</t>
  </si>
  <si>
    <t xml:space="preserve">С.В. Бабенко </t>
  </si>
  <si>
    <t>1_2</t>
  </si>
  <si>
    <t>ПРЖ</t>
  </si>
  <si>
    <t>13_0</t>
  </si>
  <si>
    <t>fДата_ПР</t>
  </si>
  <si>
    <t>fмісяць_ПР</t>
  </si>
  <si>
    <t>fрік_ПР</t>
  </si>
  <si>
    <t>ФОП Степовий О.Є.</t>
  </si>
  <si>
    <t>О.О.Морозова</t>
  </si>
  <si>
    <t>ФОП Степовий Євгеній Олександрович</t>
  </si>
  <si>
    <t>248.16.71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</si>
  <si>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</si>
  <si>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</si>
  <si>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</si>
  <si>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1,215</t>
  </si>
  <si>
    <t>26004051516959 ПАТ КБ "Приватбанк"</t>
  </si>
  <si>
    <t>Є.О. Степовий</t>
  </si>
  <si>
    <t>20092-УДП</t>
  </si>
  <si>
    <t>Степового Євгенія Олександровича</t>
  </si>
  <si>
    <t>19736 Черкаська обл.Золотоніський р-н,село Вільхи,вулиця Гагаріна,буд 2</t>
  </si>
  <si>
    <t>410.16.71</t>
  </si>
  <si>
    <t>52322-УДП</t>
  </si>
  <si>
    <t>Гурський В.О.</t>
  </si>
  <si>
    <t>грудня</t>
  </si>
  <si>
    <t>24_0</t>
  </si>
  <si>
    <t>Дз</t>
  </si>
  <si>
    <t>ЛІСІВНЕ</t>
  </si>
  <si>
    <t>Яз</t>
  </si>
  <si>
    <t>08.12.2017</t>
  </si>
  <si>
    <t>Морозова</t>
  </si>
  <si>
    <t>8_2</t>
  </si>
  <si>
    <t>Степовий</t>
  </si>
  <si>
    <t>Тендер</t>
  </si>
  <si>
    <t>Дата тендера</t>
  </si>
  <si>
    <t>знак</t>
  </si>
  <si>
    <t>МОО-18</t>
  </si>
  <si>
    <t>ЛІС-18</t>
  </si>
  <si>
    <t>СТЛ-18</t>
  </si>
  <si>
    <t>ПП "ЛІСІВНЕ"</t>
  </si>
  <si>
    <t>Банк</t>
  </si>
  <si>
    <t>ЕДРПУ Банка</t>
  </si>
  <si>
    <t>26002054722898</t>
  </si>
  <si>
    <t>ПАТ КБ "ПРИВАТБАНК"</t>
  </si>
  <si>
    <t>Підставі власника</t>
  </si>
  <si>
    <t>дозвіл від</t>
  </si>
  <si>
    <t>Дозіл №</t>
  </si>
  <si>
    <t>Дозвіл текст</t>
  </si>
  <si>
    <t>дозвільна справа №</t>
  </si>
  <si>
    <t>дозвільна справа від</t>
  </si>
  <si>
    <t>дозвільна справа текст</t>
  </si>
  <si>
    <t>дозволу №</t>
  </si>
  <si>
    <t xml:space="preserve">Дозволу від </t>
  </si>
  <si>
    <t>Держгірпромнагляду України</t>
  </si>
  <si>
    <t>виданий</t>
  </si>
  <si>
    <t>40955161</t>
  </si>
  <si>
    <t>"ІПН Вик",</t>
  </si>
  <si>
    <t>Ввод ЕДРПУ\ІНН</t>
  </si>
  <si>
    <t>frmEDERPUorINNShow</t>
  </si>
  <si>
    <t>Сз</t>
  </si>
  <si>
    <t>важкі</t>
  </si>
  <si>
    <t>Вибираєма маса підліску з 1 га скм</t>
  </si>
  <si>
    <t>Середній діаметр пня</t>
  </si>
  <si>
    <t>Захаращеність лісосіки</t>
  </si>
  <si>
    <t>Загальний коефіцієнт</t>
  </si>
  <si>
    <t>Залишок Площа</t>
  </si>
  <si>
    <t>Порядковий договору</t>
  </si>
  <si>
    <t>ПолнаяДіл</t>
  </si>
  <si>
    <t>Сведено</t>
  </si>
  <si>
    <t>Месяц договору</t>
  </si>
  <si>
    <t>Прибирання</t>
  </si>
  <si>
    <t>Зрізування</t>
  </si>
  <si>
    <t>Спилювання</t>
  </si>
  <si>
    <t>Шаблон2</t>
  </si>
  <si>
    <t>слабка</t>
  </si>
  <si>
    <t>Так</t>
  </si>
  <si>
    <t>Ні</t>
  </si>
  <si>
    <t>рубка в охоронній зоні ЛЕП</t>
  </si>
  <si>
    <t>6_0</t>
  </si>
  <si>
    <t>12_0</t>
  </si>
  <si>
    <t>14_0</t>
  </si>
  <si>
    <t>15_1</t>
  </si>
  <si>
    <t>Вертипорох Б.В.</t>
  </si>
  <si>
    <t>21_0</t>
  </si>
  <si>
    <t>008.18.71</t>
  </si>
  <si>
    <t>71.04.02.0831.17</t>
  </si>
  <si>
    <t>87545-УДП</t>
  </si>
  <si>
    <t>заяви роботодавця № 50/8</t>
  </si>
  <si>
    <t xml:space="preserve">дозвіл № 008.18.71 на підставі заяви роботодавця № 50/8 від 26.06.2013 р., дозвільна справа № 87545-УДП від 29.12.2013 р., висновок єкспертизи Держгірпромнагляду України № 71.04.02.0831.17 від 29.12.2017 р. </t>
  </si>
  <si>
    <t>26002054722898 в ПАТ КБ "ПРИВАТБАНК" МФО 333391 код 14360570</t>
  </si>
  <si>
    <t>26001051537209</t>
  </si>
  <si>
    <t>26001051537209 в ПАТ КБ "ПРИВАТБАНК" МФО 354347 код 14360570</t>
  </si>
  <si>
    <t>Тихолоз B.Т.</t>
  </si>
  <si>
    <t>Молодняки</t>
  </si>
  <si>
    <t>ПРЧ</t>
  </si>
  <si>
    <t>02.01.2018</t>
  </si>
  <si>
    <t>22_1</t>
  </si>
  <si>
    <t>18_1</t>
  </si>
  <si>
    <t>26_1</t>
  </si>
  <si>
    <t>15_0</t>
  </si>
  <si>
    <t>Довжина верх.</t>
  </si>
  <si>
    <t>xlsm</t>
  </si>
  <si>
    <t>1\Віл\1_12_МОО-18</t>
  </si>
  <si>
    <t>21 кв (2 вид) 0 діл.</t>
  </si>
  <si>
    <t>1\Віл\2_12_МОО-18</t>
  </si>
  <si>
    <t>55 кв (7 вид) 0 діл.</t>
  </si>
  <si>
    <t>1\Віл\3_12_МОО-18</t>
  </si>
  <si>
    <t>52 кв (7 вид) 0 діл.</t>
  </si>
  <si>
    <t>1\Віл\5_12_МОО-18</t>
  </si>
  <si>
    <t>56 кв (13 вид) 0 діл.</t>
  </si>
  <si>
    <t>1\Віл\4_12_МОО-18</t>
  </si>
  <si>
    <t>90 кв (6 вид) 1 діл.</t>
  </si>
  <si>
    <t>1\Кат\1_12_ЛІС-18</t>
  </si>
  <si>
    <t>84 кв (11 вид) 0 діл.</t>
  </si>
  <si>
    <t>1\Кат\2_12_ЛІС-18</t>
  </si>
  <si>
    <t>85 кв (7 вид) 0 діл.</t>
  </si>
  <si>
    <t>1\Коз\1_12_МОО-18</t>
  </si>
  <si>
    <t>54 кв (9 вид) 0 діл.</t>
  </si>
  <si>
    <t>1\Коз\2_12_МОО-18</t>
  </si>
  <si>
    <t>76 кв (5 вид) 1 діл.</t>
  </si>
  <si>
    <t>1\Пех\1_12_ЛІС-18</t>
  </si>
  <si>
    <t>65 кв (6 вид) 1 діл.</t>
  </si>
  <si>
    <t>1\Хл\1_12_МОО-18</t>
  </si>
  <si>
    <t>59 кв (8 вид) 2 діл.</t>
  </si>
  <si>
    <t>1\Хл\2_12_МОО-18</t>
  </si>
  <si>
    <t>85 кв (24 вид) 0 діл.</t>
  </si>
  <si>
    <t>1\Шп\1_12_СТЛ-18</t>
  </si>
  <si>
    <t>121 кв (1 вид) 2 діл.</t>
  </si>
  <si>
    <t>1\Кат\8_1_ЛІС-18</t>
  </si>
  <si>
    <t>97 кв (10 вид) 0 діл.</t>
  </si>
  <si>
    <t>1\Кат\5_1_ЛІС-18</t>
  </si>
  <si>
    <t>38 кв (3 вид) 0 діл.</t>
  </si>
  <si>
    <t>1\Кат\4_1_ЛІС-18</t>
  </si>
  <si>
    <t>38 кв (2 вид) 0 діл.</t>
  </si>
  <si>
    <t>1\Кат\7_1_ЛІС-18</t>
  </si>
  <si>
    <t>106 кв (11 вид) 0 діл.</t>
  </si>
  <si>
    <t>1\Кат\3_1_ЛІС-18</t>
  </si>
  <si>
    <t>38 кв (1 вид) 0 діл.</t>
  </si>
  <si>
    <t>1\Кат\6_1_ЛІС-18</t>
  </si>
  <si>
    <t>38 кв (4 вид) 0 діл.</t>
  </si>
  <si>
    <t>1\Пех\2_1_ЛІС-18</t>
  </si>
  <si>
    <t>49 кв (1 вид) 0 діл.</t>
  </si>
  <si>
    <t>1\Пех\3_1_ЛІС-18</t>
  </si>
  <si>
    <t>56 кв (5 вид) 0 діл.</t>
  </si>
  <si>
    <t>1\Пех\5_1_ЛІС-18</t>
  </si>
  <si>
    <t>54 кв (4 вид) 0 діл.</t>
  </si>
  <si>
    <t>1\Пех\6_1_ЛІС-18</t>
  </si>
  <si>
    <t>64 кв (2 вид) 0 діл.</t>
  </si>
  <si>
    <t>70 кв (2 вид) 0 діл.</t>
  </si>
  <si>
    <t>1\Шп\3_1_СТЛ-18</t>
  </si>
  <si>
    <t>81 кв (2 вид) 0 діл.</t>
  </si>
  <si>
    <t>1\Шп\4_1_СТЛ-18</t>
  </si>
  <si>
    <t>1\Шп\6_1_СТЛ-18</t>
  </si>
  <si>
    <t>113 кв (7 вид) 0 діл.</t>
  </si>
  <si>
    <t>1\Коз\3_1_МОО-18</t>
  </si>
  <si>
    <t>79 кв (8 вид) 0 діл.</t>
  </si>
  <si>
    <t>1\Коз\4_1_МОО-18</t>
  </si>
  <si>
    <t>18 кв (8 вид) 0 діл.</t>
  </si>
  <si>
    <t>1\Коз\5_1_МОО-18</t>
  </si>
  <si>
    <t>36 кв (13 вид) 0 діл.</t>
  </si>
  <si>
    <t>1\Шп\2_12_СТЛ-18</t>
  </si>
  <si>
    <t>30 кв (2 вид) 5 діл.</t>
  </si>
  <si>
    <t>1\Віл\6_1_МОО-18</t>
  </si>
  <si>
    <t>1\Кат\9_1_ЛІС-18</t>
  </si>
  <si>
    <t>55 кв (2 вид) 0 діл.</t>
  </si>
  <si>
    <t>1\Кат\10_1_ЛІС-18</t>
  </si>
  <si>
    <t>98 кв (10 вид) 0 діл.</t>
  </si>
  <si>
    <t>1\Віл\7_1_МОО-18</t>
  </si>
  <si>
    <t>2 кв (2 вид) 0 діл.</t>
  </si>
  <si>
    <t>1\Віл\10_1_МОО-18</t>
  </si>
  <si>
    <t>12 кв (5 вид) 0 діл.</t>
  </si>
  <si>
    <t>1\Пех\10_1_ЛІС-18</t>
  </si>
  <si>
    <t>26 кв (3 вид) 0 діл.</t>
  </si>
  <si>
    <t>1\Пех\9_1_ЛІС-18</t>
  </si>
  <si>
    <t>22 кв (10 вид) 0 діл.</t>
  </si>
  <si>
    <t>1\Пех\11_1_ЛІС-18</t>
  </si>
  <si>
    <t>32 кв (9 вид) 0 діл.</t>
  </si>
  <si>
    <t>1\Пех\12_1_ЛІС-18</t>
  </si>
  <si>
    <t>1\Пех\13_1_ЛІС-18</t>
  </si>
  <si>
    <t>33 кв (4 вид) 0 діл.</t>
  </si>
  <si>
    <t>1\Віл\11_1_МОО-18</t>
  </si>
  <si>
    <t>19 кв (2 вид) 0 діл.</t>
  </si>
  <si>
    <t>1\Віл\12_1_МОО-18</t>
  </si>
  <si>
    <t>19 кв (5 вид) 0 діл.</t>
  </si>
  <si>
    <t>1\Віл\13_1_МОО-18</t>
  </si>
  <si>
    <t>56 кв (3 вид) 0 діл.</t>
  </si>
  <si>
    <t>1\Віл\14_1_МОО-18</t>
  </si>
  <si>
    <t>60 кв (1 вид) 0 діл.</t>
  </si>
  <si>
    <t>1\Віл\15_1_МОО-18</t>
  </si>
  <si>
    <t>1\Віл\16_1_МОО-18</t>
  </si>
  <si>
    <t>77 кв (8 вид) 0 діл.</t>
  </si>
  <si>
    <t>1\Віл\17_1_МОО-18</t>
  </si>
  <si>
    <t>78 кв (7 вид) 0 діл.</t>
  </si>
  <si>
    <t>1\Віл\18_1_МОО-18</t>
  </si>
  <si>
    <t>86 кв (13 вид) 0 діл.</t>
  </si>
  <si>
    <t>1\Віл\19_1_МОО-18</t>
  </si>
  <si>
    <t>109 кв (1 вид) 0 діл.</t>
  </si>
  <si>
    <t>1\Шп\11_11_СТЛ-18</t>
  </si>
  <si>
    <t>1\Шп\12_11_СТЛ-18</t>
  </si>
  <si>
    <t>120 кв (1 вид) 0 діл.</t>
  </si>
  <si>
    <t>1\Хл\3_12_МОО-18</t>
  </si>
  <si>
    <t>86 кв (4 вид) 1 діл.</t>
  </si>
  <si>
    <t>1\Віл\8_12_МОО-18</t>
  </si>
  <si>
    <t>20 кв (3 вид) 0 діл.</t>
  </si>
  <si>
    <t>1\Хл\4_12_МОО-18</t>
  </si>
  <si>
    <t>20 кв (4 вид) 1 діл.</t>
  </si>
  <si>
    <t>1\Віл\9_12_МОО-18</t>
  </si>
  <si>
    <t>121 кв (4 вид) 0 діл.</t>
  </si>
  <si>
    <t>1\Хл\27_1_МОО-18</t>
  </si>
  <si>
    <t>65 кв (2 вид) 1 діл.</t>
  </si>
  <si>
    <t>1\Хл\28_1_МОО-18</t>
  </si>
  <si>
    <t>1\Хл\29_1_МОО-18</t>
  </si>
  <si>
    <t>65 кв (4 вид) 0 діл.</t>
  </si>
  <si>
    <t>1\Хл\30_1_МОО-18</t>
  </si>
  <si>
    <t>65 кв (5 вид) 0 діл.</t>
  </si>
  <si>
    <t>1\Хл\31_1_МОО-18</t>
  </si>
  <si>
    <t>65 кв (6 вид) 0 діл.</t>
  </si>
  <si>
    <t>1\Хл\32_1_МОО-18</t>
  </si>
  <si>
    <t>65 кв (8 вид) 0 діл.</t>
  </si>
  <si>
    <t>1\Хл\33_1_МОО-18</t>
  </si>
  <si>
    <t>65 кв (9 вид) 0 діл.</t>
  </si>
  <si>
    <t>1\Хл\34_1_МОО-18</t>
  </si>
  <si>
    <t>58 кв (12 вид) 0 діл.</t>
  </si>
  <si>
    <t>1\Хл\35_1_МОО-18</t>
  </si>
  <si>
    <t>58 кв (14 вид) 0 діл.</t>
  </si>
  <si>
    <t>1\Хл\36_1_МОО-18</t>
  </si>
  <si>
    <t>58 кв (15 вид) 1 діл.</t>
  </si>
  <si>
    <t>1\Хл\22_1_МОО-18</t>
  </si>
  <si>
    <t>1\Хл\23_1_МОО-18</t>
  </si>
  <si>
    <t>1\Хл\24_1_МОО-18</t>
  </si>
  <si>
    <t>58 кв (13 вид) 0 діл.</t>
  </si>
  <si>
    <t>1\Хл\25_1_МОО-18</t>
  </si>
  <si>
    <t>89 кв (9 вид) 0 діл.</t>
  </si>
  <si>
    <t>1\Хл\26_1_МОО-18</t>
  </si>
  <si>
    <t>125 кв (21 вид) 0 діл.</t>
  </si>
  <si>
    <t>1\Кат\14_1_ЛІС-18</t>
  </si>
  <si>
    <t>77 кв (1 вид) 0 діл.</t>
  </si>
  <si>
    <t>1\Кат\15_1_ЛІС-18</t>
  </si>
  <si>
    <t>78 кв (13 вид) 0 діл.</t>
  </si>
  <si>
    <t>1\Кат\17_1_ЛІС-18</t>
  </si>
  <si>
    <t>1\Кат\16_1_ЛІС-18</t>
  </si>
  <si>
    <t>1\Кат\11_1_ЛІС-18</t>
  </si>
  <si>
    <t>125 кв (22 вид) 1 діл.</t>
  </si>
  <si>
    <t>1\Кат\12_1_ЛІС-18</t>
  </si>
  <si>
    <t>125 кв (18 вид) 1 діл.</t>
  </si>
  <si>
    <t>1\Кат\13_1_ЛІС-18</t>
  </si>
  <si>
    <t>125 кв (26 вид) 1 діл.</t>
  </si>
  <si>
    <t>1\Коз\7_1_МОО-18</t>
  </si>
  <si>
    <t>19 кв (7 вид) 0 діл.</t>
  </si>
  <si>
    <t>1\Коз\8_1_МОО-18</t>
  </si>
  <si>
    <t>26 кв (6 вид) 0 діл.</t>
  </si>
  <si>
    <t>1\Коз\9_1_МОО-18</t>
  </si>
  <si>
    <t>28 кв (15 вид) 0 діл.</t>
  </si>
  <si>
    <t>1\Шп\7_1_СТЛ-18</t>
  </si>
  <si>
    <t>98 кв (3 вид) 0 діл.</t>
  </si>
  <si>
    <t>1\Шп\8_1_СТЛ-18</t>
  </si>
  <si>
    <t>8 кв (12 вид) 0 діл.</t>
  </si>
  <si>
    <t>1\Шп\9_1_СТЛ-18</t>
  </si>
  <si>
    <t>8 кв (10 вид) 0 діл.</t>
  </si>
  <si>
    <t>1\Шп\10_1_СТЛ-18</t>
  </si>
  <si>
    <t>1\Віл\23_1_МОО-18</t>
  </si>
  <si>
    <t>1\Віл\24_1_МОО-18</t>
  </si>
  <si>
    <t>1\Шп\15_1_СТЛ-18</t>
  </si>
  <si>
    <t>1\Шп\16_1_СТЛ-18</t>
  </si>
  <si>
    <t>43 кв (1 вид) 0 діл.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</si>
  <si>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</si>
  <si>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</si>
  <si>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</si>
  <si>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</si>
  <si>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</si>
  <si>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</si>
  <si>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Техсировина</t>
  </si>
  <si>
    <t>Хворост 1</t>
  </si>
  <si>
    <t>Хворост 2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</si>
  <si>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</si>
  <si>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Прибирання небезпечних дерев,зрізування кущів кущорізом,спилювання пнів,звалювання дерев, обрізка/обрубка гілок,розкряжування хлистів на сортименти, зачищення сучків, сортування</t>
  </si>
  <si>
    <t>20 кв (11 вид) 0 діл.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</si>
  <si>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</si>
  <si>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</si>
  <si>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</si>
  <si>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</si>
  <si>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</si>
  <si>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</si>
  <si>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</si>
  <si>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</si>
  <si>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</si>
  <si>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Крещенко Л.В.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</si>
  <si>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</si>
  <si>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</si>
  <si>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</si>
  <si>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Медзяновський Є.О.</t>
  </si>
  <si>
    <t>2\Хл\2_2_МОО-18</t>
  </si>
  <si>
    <t>2\Хл\3_2_МОО-18</t>
  </si>
  <si>
    <t>2\Хл\4_2_МОО-18</t>
  </si>
  <si>
    <t>2\Хл\5_2_МОО-18</t>
  </si>
  <si>
    <t>2\Хл\6_2_МОО-18</t>
  </si>
  <si>
    <t>2\Хл\7_2_МОО-18</t>
  </si>
  <si>
    <t>Коваль А.В.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</si>
  <si>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</si>
  <si>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</si>
  <si>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</si>
  <si>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</si>
  <si>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</si>
  <si>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</si>
  <si>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</si>
  <si>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</si>
  <si>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</si>
  <si>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</si>
  <si>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2\Коз\5_2_МОО-18</t>
  </si>
  <si>
    <t>2\Коз\6_2_МОО-18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</si>
  <si>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</si>
  <si>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</si>
  <si>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</si>
  <si>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</si>
  <si>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</si>
  <si>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2\Кат\2_2_ЛІС-18</t>
  </si>
  <si>
    <t>2\Кат\3_2_ЛІС-18</t>
  </si>
  <si>
    <t>11_1</t>
  </si>
  <si>
    <t>2\Кат\4_2_ЛІС-18</t>
  </si>
  <si>
    <t>2\Кат\6_1_ЛІС-18</t>
  </si>
  <si>
    <t>2\Пех\6_1_ЛІС-18</t>
  </si>
  <si>
    <t>2\Пех\7_1_ЛІС-18</t>
  </si>
  <si>
    <t>2\Пех\8_1_ЛІС-18</t>
  </si>
  <si>
    <t>2\Пех\9_1_ЛІС-18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</si>
  <si>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</si>
  <si>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</si>
  <si>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</si>
  <si>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</si>
  <si>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</si>
  <si>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</si>
  <si>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</si>
  <si>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3\Віл\1_3_МОО-18</t>
  </si>
  <si>
    <t>3\Віл\3_3_МОО-18</t>
  </si>
  <si>
    <t>3\Віл\2_3_МОО-18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</si>
  <si>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</si>
  <si>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</si>
  <si>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</si>
  <si>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</si>
  <si>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</si>
  <si>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</si>
  <si>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</si>
  <si>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</si>
  <si>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</si>
  <si>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</si>
  <si>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</si>
  <si>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</si>
  <si>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</si>
  <si>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</si>
  <si>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</si>
  <si>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</si>
  <si>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</si>
  <si>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</si>
  <si>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</si>
  <si>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</si>
  <si>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</si>
  <si>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3\Шп\8_3_СТЛ-18</t>
  </si>
  <si>
    <t>3\Шп\9_3_СТЛ-18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</si>
  <si>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</si>
  <si>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</si>
  <si>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</si>
  <si>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</si>
  <si>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</si>
  <si>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</si>
  <si>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</si>
  <si>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</si>
  <si>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</si>
  <si>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</si>
  <si>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</si>
  <si>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</si>
  <si>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РКП</t>
  </si>
  <si>
    <t>3\Коз\7_3_МОО-18</t>
  </si>
  <si>
    <t>3\Коз\8_3_МОО-18</t>
  </si>
  <si>
    <t>3\Хл\1_3_МОО-18</t>
  </si>
  <si>
    <t>3\Хл\2_3_МОО-18</t>
  </si>
  <si>
    <t>3\Хл\3_3_МОО-18</t>
  </si>
  <si>
    <t>3\Хл\4_3_МОО-18</t>
  </si>
  <si>
    <t>3\Хл\5_3_МОО-18</t>
  </si>
  <si>
    <t>3\Хл\6_3_МОО-18</t>
  </si>
  <si>
    <t>3\Хл\7_3_МОО-18</t>
  </si>
  <si>
    <t>3\Хл\8_3_МОО-18</t>
  </si>
  <si>
    <t>3\Хл\9_3_МОО-18</t>
  </si>
  <si>
    <t>Демчук О.О.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</si>
  <si>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</si>
  <si>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</si>
  <si>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</si>
  <si>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</si>
  <si>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</si>
  <si>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</si>
  <si>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</si>
  <si>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3\Хл\10_12_МОО-18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</si>
  <si>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</si>
  <si>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ОСВ</t>
  </si>
  <si>
    <t>4\Кат\2_4_ЛІС-18</t>
  </si>
  <si>
    <t>4\Кат\4_4_ЛІС-18</t>
  </si>
  <si>
    <t>16_0</t>
  </si>
  <si>
    <t>4\Кат\3_4_ЛІС-18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</si>
  <si>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</si>
  <si>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</si>
  <si>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</si>
  <si>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</si>
  <si>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</si>
  <si>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</si>
  <si>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</si>
  <si>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ЛД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</si>
  <si>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</si>
  <si>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</si>
  <si>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</si>
  <si>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</si>
  <si>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</si>
  <si>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</si>
  <si>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</si>
  <si>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</si>
  <si>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</si>
  <si>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</si>
  <si>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</si>
  <si>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</si>
  <si>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</si>
  <si>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</si>
  <si>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</si>
  <si>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</si>
  <si>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</si>
  <si>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</si>
  <si>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</si>
  <si>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</si>
  <si>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</si>
  <si>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</si>
  <si>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</si>
  <si>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</si>
  <si>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</si>
  <si>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</si>
  <si>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</si>
  <si>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</si>
  <si>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</si>
  <si>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</si>
  <si>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</si>
  <si>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</si>
  <si>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</si>
  <si>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</si>
  <si>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</si>
  <si>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</si>
  <si>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</si>
  <si>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РЛД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</si>
  <si>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</si>
  <si>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</si>
  <si>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</si>
  <si>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</si>
  <si>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</si>
  <si>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</si>
  <si>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</si>
  <si>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</si>
  <si>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</si>
  <si>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</si>
  <si>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</si>
  <si>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</si>
  <si>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</si>
  <si>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</si>
  <si>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</si>
  <si>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</si>
  <si>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</si>
  <si>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</si>
  <si>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</si>
  <si>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</si>
  <si>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</si>
  <si>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</si>
  <si>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</si>
  <si>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</si>
  <si>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</si>
  <si>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</si>
  <si>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</si>
  <si>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</si>
  <si>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</si>
  <si>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</si>
  <si>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</si>
  <si>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</si>
  <si>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</si>
  <si>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</si>
  <si>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</si>
  <si>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</si>
  <si>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</si>
  <si>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</si>
  <si>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</si>
  <si>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</si>
  <si>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</si>
  <si>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</si>
  <si>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</si>
  <si>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</si>
  <si>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</si>
  <si>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</si>
  <si>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</si>
  <si>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</si>
  <si>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</si>
  <si>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5\Пех\5_4_ЛІС-18</t>
  </si>
  <si>
    <t>5\Пех\4_4_ЛІС-18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</si>
  <si>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</si>
  <si>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</si>
  <si>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Догляд за ПЛНД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</si>
  <si>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</si>
  <si>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</si>
  <si>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</si>
  <si>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</si>
  <si>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</si>
  <si>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</si>
  <si>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</si>
  <si>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5\Шп\8_5_СТЛ-18</t>
  </si>
  <si>
    <t>5\Шп\9_1_СТЛ-18</t>
  </si>
  <si>
    <t>5\Шп\10_1_СТЛ-18</t>
  </si>
  <si>
    <t>5\Шп\11_1_СТЛ-18</t>
  </si>
  <si>
    <t>5\Шп\15_1_СТЛ-18</t>
  </si>
  <si>
    <t>5\Віл\5_12_МОО-18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</si>
  <si>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</si>
  <si>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</si>
  <si>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</si>
  <si>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</si>
  <si>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</si>
  <si>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</si>
  <si>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</si>
  <si>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</si>
  <si>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</si>
  <si>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</si>
  <si>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</si>
  <si>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</si>
  <si>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26002054722898 ПАТ КБ "ПРИВАТБАНК" МФО333391</t>
  </si>
  <si>
    <t>№94-ДГ</t>
  </si>
  <si>
    <t>6\Коз\6_1_ДПО-18</t>
  </si>
  <si>
    <t>ДПО-18</t>
  </si>
  <si>
    <t>6\Коз\5_1_ДПО-18</t>
  </si>
  <si>
    <t>Черкаська область, м. Черкаси  вул. Гетмана Сагайдачного б. 175/1 кв. 41 ,18020</t>
  </si>
  <si>
    <t>6\Коз\23_1_ДПО-18</t>
  </si>
  <si>
    <t>6\Коз\26_1_ДПО-18</t>
  </si>
  <si>
    <t>6\Коз\15_2_ДПО-18</t>
  </si>
  <si>
    <t>6\Коз\11_2_ДПО-18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</si>
  <si>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</si>
  <si>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</si>
  <si>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</si>
  <si>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</si>
  <si>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</si>
  <si>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</si>
  <si>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</si>
  <si>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</si>
  <si>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</si>
  <si>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</si>
  <si>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</si>
  <si>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</si>
  <si>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</si>
  <si>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</si>
  <si>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</si>
  <si>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</si>
  <si>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</si>
  <si>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</si>
  <si>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</si>
  <si>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</si>
  <si>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</si>
  <si>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</si>
  <si>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</si>
  <si>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</si>
  <si>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</si>
  <si>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6\Хл\38_2_ДПО-18</t>
  </si>
  <si>
    <t>6\Хл\39_2_ДПО-18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</si>
  <si>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</si>
  <si>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</si>
  <si>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</si>
  <si>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</si>
  <si>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</si>
  <si>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</si>
  <si>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</si>
  <si>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</si>
  <si>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</si>
  <si>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</si>
  <si>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</si>
  <si>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</si>
  <si>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</si>
  <si>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</si>
  <si>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</si>
  <si>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</si>
  <si>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</si>
  <si>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</si>
  <si>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</si>
  <si>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</si>
  <si>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6\Віл\24_12_ДПО-18</t>
  </si>
  <si>
    <t>6\Віл\26_12_ДПО-18</t>
  </si>
  <si>
    <t>6\Пех\1_6_ЛІС-18</t>
  </si>
  <si>
    <t>6\Пех\2_6_ЛІС-18</t>
  </si>
  <si>
    <t>6\Віл\9_12_ДПО-18</t>
  </si>
  <si>
    <t>6\Віл\28_12_ДПО-18</t>
  </si>
  <si>
    <t>6\Віл\3_12_ДПО-18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</si>
  <si>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</si>
  <si>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</si>
  <si>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</si>
  <si>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</si>
  <si>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</si>
  <si>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</si>
  <si>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</si>
  <si>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</si>
  <si>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</si>
  <si>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</si>
  <si>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</si>
  <si>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</si>
  <si>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</si>
  <si>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</si>
  <si>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</si>
  <si>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6\Коз\32_1_ДПО-18</t>
  </si>
  <si>
    <t>6\Коз\33_4_ДПО-18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</si>
  <si>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</si>
  <si>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</si>
  <si>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</si>
  <si>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</si>
  <si>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</si>
  <si>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</si>
  <si>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</si>
  <si>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</si>
  <si>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</si>
  <si>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</si>
  <si>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</si>
  <si>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</si>
  <si>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</si>
  <si>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6\Віл\7_5_ДПО-18</t>
  </si>
  <si>
    <t>6\Віл\5_5_ДПО-18</t>
  </si>
  <si>
    <t>6\Віл\8_5_ДПО-18</t>
  </si>
  <si>
    <t>6\Віл\9_5_ДПО-18</t>
  </si>
  <si>
    <t>1\Хл\7_1_МОО-18</t>
  </si>
  <si>
    <t>2\Хл\14_1_ДПО-18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</si>
  <si>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</si>
  <si>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</si>
  <si>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</si>
  <si>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</si>
  <si>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</si>
  <si>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</si>
  <si>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</si>
  <si>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</si>
  <si>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</si>
  <si>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</si>
  <si>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</si>
  <si>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</si>
  <si>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</si>
  <si>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</si>
  <si>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</si>
  <si>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</si>
  <si>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</si>
  <si>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6\Віл\39_1_ДПО-18</t>
  </si>
  <si>
    <t>6\Віл\33_6_ДПО-18</t>
  </si>
  <si>
    <t>6\Віл\30_6_ДПО-18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</si>
  <si>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</si>
  <si>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</si>
  <si>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</si>
  <si>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</si>
  <si>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</si>
  <si>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</si>
  <si>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</si>
  <si>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</si>
  <si>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</si>
  <si>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</si>
  <si>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</si>
  <si>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</si>
  <si>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</si>
  <si>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</si>
  <si>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</si>
  <si>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</si>
  <si>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</si>
  <si>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</si>
  <si>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G:\Dropbox\Чат\Техкарты\7\Віл\19 кв (6 вид) 0 діл\19 кв (6 вид) 0 діл-Комплект-556708-Молодняки-ЛД.doc</t>
  </si>
  <si>
    <t>7\Кат\1_4_ЛІС-18</t>
  </si>
  <si>
    <t>Катун М.В.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</si>
  <si>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</si>
  <si>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</si>
  <si>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</si>
  <si>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</si>
  <si>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</si>
  <si>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</si>
  <si>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Хл\2 кв (8 вид) 0 діл.\2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</si>
  <si>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</si>
  <si>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</si>
  <si>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</si>
  <si>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</si>
  <si>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</si>
  <si>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</si>
  <si>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</si>
  <si>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</si>
  <si>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</si>
  <si>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</si>
  <si>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</si>
  <si>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</si>
  <si>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</si>
  <si>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</si>
  <si>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</si>
  <si>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</si>
  <si>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</si>
  <si>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</si>
  <si>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</si>
  <si>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7\Коз\1_12_ДПО-18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</si>
  <si>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</si>
  <si>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</si>
  <si>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</si>
  <si>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</si>
  <si>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</si>
  <si>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</si>
  <si>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</si>
  <si>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</si>
  <si>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</si>
  <si>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</si>
  <si>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</si>
  <si>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</si>
  <si>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</si>
  <si>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</si>
  <si>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</si>
  <si>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</si>
  <si>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</si>
  <si>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</si>
  <si>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</si>
  <si>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</si>
  <si>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</si>
  <si>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</si>
  <si>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</si>
  <si>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</si>
  <si>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</si>
  <si>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</si>
  <si>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</si>
  <si>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</si>
  <si>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</si>
  <si>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</si>
  <si>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</si>
  <si>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</si>
  <si>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</si>
  <si>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</si>
  <si>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</si>
  <si>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8\Кат\7_4_ЛІС-18</t>
  </si>
  <si>
    <t>8\Кат\5_4_ЛІС-18</t>
  </si>
  <si>
    <t>8\Кат\8_4_ЛІС-18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</si>
  <si>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</si>
  <si>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</si>
  <si>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</si>
  <si>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</si>
  <si>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</si>
  <si>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</si>
  <si>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</si>
  <si>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</si>
  <si>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</si>
  <si>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</si>
  <si>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</si>
  <si>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</si>
  <si>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</si>
  <si>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8\Віл\6_8_ДПО-18</t>
  </si>
  <si>
    <t>8\Віл\5_8_ДПО-18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</si>
  <si>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</si>
  <si>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</si>
  <si>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</si>
  <si>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</si>
  <si>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</si>
  <si>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</si>
  <si>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</si>
  <si>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</si>
  <si>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</si>
  <si>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</si>
  <si>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</si>
  <si>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</si>
  <si>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</si>
  <si>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</si>
  <si>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</si>
  <si>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</si>
  <si>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</si>
  <si>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</si>
  <si>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</si>
  <si>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</si>
  <si>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</si>
  <si>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</si>
  <si>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</si>
  <si>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</si>
  <si>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</si>
  <si>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</si>
  <si>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</si>
  <si>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</si>
  <si>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9\Кат\1_12_ЛІС-18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</si>
  <si>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</si>
  <si>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9\Пех\7_1_ЛІС-18</t>
  </si>
  <si>
    <t>9\Пех\8_9_ЛІС-18</t>
  </si>
  <si>
    <t>9\Шп\1_12_СТЛ-18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</si>
  <si>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</si>
  <si>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</si>
  <si>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</si>
  <si>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</si>
  <si>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</si>
  <si>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</si>
  <si>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</si>
  <si>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</si>
  <si>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</si>
  <si>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</si>
  <si>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</si>
  <si>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</si>
  <si>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</si>
  <si>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</si>
  <si>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</si>
  <si>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</si>
  <si>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</si>
  <si>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</si>
  <si>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</si>
  <si>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</si>
  <si>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</si>
  <si>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</si>
  <si>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</si>
  <si>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</si>
  <si>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</si>
  <si>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</si>
  <si>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</si>
  <si>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</si>
  <si>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</si>
  <si>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7_4</t>
  </si>
  <si>
    <t>10\Шп\5_12_СТЛ-18</t>
  </si>
  <si>
    <t>Дробіт О.М.</t>
  </si>
  <si>
    <t>10\Шп\6_10_СТЛ-18</t>
  </si>
  <si>
    <t>10\Шп\7_10_СТЛ-18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</si>
  <si>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</si>
  <si>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</si>
  <si>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</si>
  <si>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</si>
  <si>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</si>
  <si>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</si>
  <si>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</si>
  <si>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</si>
  <si>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</si>
  <si>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</si>
  <si>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</si>
  <si>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10\Віл\15_10_ДПО-18</t>
  </si>
  <si>
    <t>10\Віл\16_10_ДПО-18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</si>
  <si>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</si>
  <si>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</si>
  <si>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</si>
  <si>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</si>
  <si>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</si>
  <si>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10\Коз\1_10_ДПО-18</t>
  </si>
  <si>
    <t>10\Коз\2_10_ДПО-18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</si>
  <si>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</si>
  <si>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</si>
  <si>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</si>
  <si>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</si>
  <si>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</si>
  <si>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</si>
  <si>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</si>
  <si>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</si>
  <si>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</si>
  <si>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</si>
  <si>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</si>
  <si>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</si>
  <si>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</si>
  <si>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</si>
  <si>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</si>
  <si>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</si>
  <si>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</si>
  <si>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</si>
  <si>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</si>
  <si>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</si>
  <si>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</si>
  <si>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</si>
  <si>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</si>
  <si>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</si>
  <si>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11\Пех\5_11_ЛІС-18</t>
  </si>
  <si>
    <t>11\Пех\6_11_ЛІС-18</t>
  </si>
  <si>
    <t>11\Пех\7_11_ЛІС-18</t>
  </si>
  <si>
    <t>11\Пех\4_11_ЛІС-18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</si>
  <si>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</si>
  <si>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</si>
  <si>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</si>
  <si>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</si>
  <si>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</si>
  <si>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</si>
  <si>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</si>
  <si>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</si>
  <si>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</si>
  <si>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</si>
  <si>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</si>
  <si>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</si>
  <si>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</si>
  <si>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</si>
  <si>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</si>
  <si>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</si>
  <si>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</si>
  <si>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Розцінка за одиницю, грн.</t>
  </si>
  <si>
    <t>Сума,                                          грн.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</si>
  <si>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</si>
  <si>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</si>
  <si>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</si>
  <si>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</si>
  <si>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</si>
  <si>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</si>
  <si>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</si>
  <si>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</si>
  <si>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</si>
  <si>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</si>
  <si>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</si>
  <si>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кбм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</si>
  <si>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</si>
  <si>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</si>
  <si>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</si>
  <si>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</si>
  <si>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</si>
  <si>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</si>
  <si>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</si>
  <si>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</si>
  <si>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</si>
  <si>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</si>
  <si>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</si>
  <si>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</si>
  <si>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</si>
  <si>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</si>
  <si>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</si>
  <si>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Всього з ПДВ підготовчих та лісосічних робіт</t>
  </si>
  <si>
    <t>3.</t>
  </si>
  <si>
    <t>Трелювання деревини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</si>
  <si>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</si>
  <si>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</si>
  <si>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</si>
  <si>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</si>
  <si>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</si>
  <si>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</si>
  <si>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</si>
  <si>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</si>
  <si>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</si>
  <si>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</si>
  <si>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</si>
  <si>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</si>
  <si>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</si>
  <si>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</si>
  <si>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</si>
  <si>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</si>
  <si>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</si>
  <si>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</si>
  <si>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</si>
  <si>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</si>
  <si>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</si>
  <si>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</si>
  <si>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</si>
  <si>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</si>
  <si>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</si>
  <si>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</si>
  <si>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Очищення місць рубок після освітлення та прочистки механізованим способом</t>
  </si>
  <si>
    <t>gРГК_протокол</t>
  </si>
  <si>
    <t>gРГК_ТЗ</t>
  </si>
  <si>
    <t>21 кв (2 вид) 0 діл. 556620 РГК</t>
  </si>
  <si>
    <t>55 кв (7 вид) 0 діл. 556620 РГК</t>
  </si>
  <si>
    <t>52 кв (7 вид) 0 діл. 556620 РГК</t>
  </si>
  <si>
    <t>56 кв (13 вид) 0 діл. 556620 РГК</t>
  </si>
  <si>
    <t>90 кв (6 вид) 1 діл. 556620 РГК</t>
  </si>
  <si>
    <t>84 кв (11 вид) 0 діл. 556621 РГК</t>
  </si>
  <si>
    <t>85 кв (7 вид) 0 діл. 556621 РГК</t>
  </si>
  <si>
    <t>54 кв (9 вид) 0 діл. 556617 РГК</t>
  </si>
  <si>
    <t>76 кв (5 вид) 1 діл. 556617 РГК</t>
  </si>
  <si>
    <t>65 кв (6 вид) 1 діл. 556619 РГК</t>
  </si>
  <si>
    <t>59 кв (8 вид) 2 діл. 556618 РГК</t>
  </si>
  <si>
    <t>85 кв (24 вид) 0 діл. 556618 РГК</t>
  </si>
  <si>
    <t>121 кв (1 вид) 2 діл. 556618 РГК</t>
  </si>
  <si>
    <t>97 кв (10 вид) 0 діл. 556632 ПРХ</t>
  </si>
  <si>
    <t>38 кв (3 вид) 0 діл. 556642 СРВ</t>
  </si>
  <si>
    <t>38 кв (2 вид) 0 діл. 556642 СРВ</t>
  </si>
  <si>
    <t>106 кв (11 вид) 0 діл. 556642 СРВ</t>
  </si>
  <si>
    <t>38 кв (1 вид) 0 діл. 556642 СРВ</t>
  </si>
  <si>
    <t>38 кв (4 вид) 0 діл. 556642 СРВ</t>
  </si>
  <si>
    <t>49 кв (1 вид) 0 діл. 556638 ПРХ</t>
  </si>
  <si>
    <t>56 кв (5 вид) 0 діл. 556638 ПРХ</t>
  </si>
  <si>
    <t>54 кв (4 вид) 0 діл. 556637 ПРЖ</t>
  </si>
  <si>
    <t>64 кв (2 вид) 0 діл. 556637 ПРЖ</t>
  </si>
  <si>
    <t>70 кв (2 вид) 0 діл. 556637 ПРЖ</t>
  </si>
  <si>
    <t>81 кв (2 вид) 0 діл. 556629 ПРХ</t>
  </si>
  <si>
    <t>93 кв (2 вид) 0 діл. 556629 ПРХ</t>
  </si>
  <si>
    <t>113 кв (7 вид) 0 діл. 556629 ПРХ</t>
  </si>
  <si>
    <t>79 кв (8 вид) 0 діл. 556629 ПРЖ</t>
  </si>
  <si>
    <t>18 кв (8 вид) 0 діл. 556634 ПРЖ</t>
  </si>
  <si>
    <t>36 кв (13 вид) 0 діл. 556634 ПРЖ</t>
  </si>
  <si>
    <t>30 кв (2 вид) 5 діл. 556622 РГК</t>
  </si>
  <si>
    <t>77 кв (7 вид) 0 діл. 555641 ПРХ</t>
  </si>
  <si>
    <t>55 кв (2 вид) 0 діл. 556631 ПРЖ</t>
  </si>
  <si>
    <t>98 кв (10 вид) 0 діл. 556632 ПРХ</t>
  </si>
  <si>
    <t>2 кв (2 вид) 0 діл. 556641 ПРХ</t>
  </si>
  <si>
    <t>12 кв (5 вид) 0 діл. 556641 ПРХ</t>
  </si>
  <si>
    <t>26 кв (3 вид) 0 діл. 556638 ПРХ</t>
  </si>
  <si>
    <t>22 кв (10 вид) 0 діл. 556637 ПРЖ</t>
  </si>
  <si>
    <t>32 кв (9 вид) 0 діл. 556643 СРВ</t>
  </si>
  <si>
    <t>72 кв (1 вид) 0 діл. 556643 СРВ</t>
  </si>
  <si>
    <t>33 кв (4 вид) 0 діл. 556643 СРВ</t>
  </si>
  <si>
    <t>19 кв (2 вид) 0 діл. 556644 СРВ</t>
  </si>
  <si>
    <t>19 кв (5 вид) 0 діл. 556644 СРВ</t>
  </si>
  <si>
    <t>56 кв (3 вид) 0 діл. 556644 СРВ</t>
  </si>
  <si>
    <t>60 кв (1 вид) 0 діл. 556644 СРВ</t>
  </si>
  <si>
    <t>73 кв (3 вид) 0 діл. 556644 СРВ</t>
  </si>
  <si>
    <t>77 кв (8 вид) 0 діл. 556644 СРВ</t>
  </si>
  <si>
    <t>78 кв (7 вид) 0 діл. 556644 СРВ</t>
  </si>
  <si>
    <t>86 кв (13 вид) 0 діл. 556644 СРВ</t>
  </si>
  <si>
    <t>109 кв (1 вид) 0 діл. 556644 СРВ</t>
  </si>
  <si>
    <t>83 кв (1 вид) 0 діл. 556611 СРВ</t>
  </si>
  <si>
    <t>120 кв (1 вид) 0 діл. 556611 СРВ</t>
  </si>
  <si>
    <t>86 кв (4 вид) 1 діл. 556618 РГК</t>
  </si>
  <si>
    <t>20 кв (3 вид) 0 діл. 556618 РГК</t>
  </si>
  <si>
    <t>20 кв (4 вид) 1 діл. 556618 РГК</t>
  </si>
  <si>
    <t>121 кв (4 вид) 0 діл. 556618 РГК</t>
  </si>
  <si>
    <t>65 кв (2 вид) 1 діл. 556648 рубка в охоронній зоні ЛЕП</t>
  </si>
  <si>
    <t>65 кв (3 вид) 0 діл. 556648 рубка в охоронній зоні ЛЕП</t>
  </si>
  <si>
    <t>65 кв (4 вид) 0 діл. 556648 рубка в охоронній зоні ЛЕП</t>
  </si>
  <si>
    <t>65 кв (5 вид) 0 діл. 556648 рубка в охоронній зоні ЛЕП</t>
  </si>
  <si>
    <t>65 кв (6 вид) 0 діл. 556648 рубка в охоронній зоні ЛЕП</t>
  </si>
  <si>
    <t>65 кв (8 вид) 0 діл. 556648 рубка в охоронній зоні ЛЕП</t>
  </si>
  <si>
    <t>65 кв (9 вид) 0 діл. 556648 рубка в охоронній зоні ЛЕП</t>
  </si>
  <si>
    <t>58 кв (12 вид) 0 діл. 556648 рубка в охоронній зоні ЛЕП</t>
  </si>
  <si>
    <t>58 кв (14 вид) 0 діл. 556648 рубка в охоронній зоні ЛЕП</t>
  </si>
  <si>
    <t>58 кв (15 вид) 1 діл. 556648 рубка в охоронній зоні ЛЕП</t>
  </si>
  <si>
    <t>58 кв (9 вид) 0 діл. 556647 СРВ</t>
  </si>
  <si>
    <t>58 кв (11 вид) 0 діл. 556647 СРВ</t>
  </si>
  <si>
    <t>58 кв (13 вид) 0 діл. 556647 СРВ</t>
  </si>
  <si>
    <t>125 кв (21 вид) 0 діл. 556647 СРВ</t>
  </si>
  <si>
    <t>77 кв (1 вид) 0 діл. 556630 ПРЧ</t>
  </si>
  <si>
    <t>78 кв (13 вид) 0 діл. 556630 ПРЧ</t>
  </si>
  <si>
    <t>66 кв (2 вид) 0 діл. 556630 ПРЧ</t>
  </si>
  <si>
    <t>48 кв (1 вид) 0 діл. 556630 ПРЧ</t>
  </si>
  <si>
    <t>125 кв (22 вид) 1 діл. 556649 рубка в охоронній зоні ЛЕП</t>
  </si>
  <si>
    <t>125 кв (18 вид) 1 діл. 556649 рубка в охоронній зоні ЛЕП</t>
  </si>
  <si>
    <t>125 кв (26 вид) 1 діл. 556649 рубка в охоронній зоні ЛЕП</t>
  </si>
  <si>
    <t>19 кв (7 вид) 0 діл. 556633 ПРЧ</t>
  </si>
  <si>
    <t>26 кв (6 вид) 0 діл. 556633 ПРЧ</t>
  </si>
  <si>
    <t>28 кв (15 вид) 0 діл. 556633 ПРЧ</t>
  </si>
  <si>
    <t>98 кв (3 вид) 0 діл. 556627 ПРЧ</t>
  </si>
  <si>
    <t>8 кв (12 вид) 0 діл. 556627 ПРЧ</t>
  </si>
  <si>
    <t>8 кв (10 вид) 0 діл. 556627 ПРЧ</t>
  </si>
  <si>
    <t>31 кв (5 вид) 0 діл. 556627 ПРЧ</t>
  </si>
  <si>
    <t>58 кв (1 вид) 0 діл. 556639 ПРЧ</t>
  </si>
  <si>
    <t>19 кв (7 вид) 0 діл. 556639 ПРЧ</t>
  </si>
  <si>
    <t>98 кв (2 вид) 0 діл. 556646 СРВ</t>
  </si>
  <si>
    <t>43 кв (1 вид) 0 діл. 556646 СРВ</t>
  </si>
  <si>
    <t>89 кв (9 вид) 0 діл. 556647 СРВ</t>
  </si>
  <si>
    <t>20 кв (11 вид) 0 діл. 556645 СРВ</t>
  </si>
  <si>
    <t>6 кв (3 вид) 0 діл. 556645 СРВ</t>
  </si>
  <si>
    <t>з густим</t>
  </si>
  <si>
    <t>101 кв (12 вид)  діл.</t>
  </si>
  <si>
    <t xml:space="preserve">101 кв (12 вид)  діл. 556622 </t>
  </si>
  <si>
    <t>7 кв (10 вид) 0 діл.</t>
  </si>
  <si>
    <t>7 кв (10 вид) 0 діл. 556646 СРВ</t>
  </si>
  <si>
    <t>31 кв (4 вид) 0 діл. 556646 СРВ</t>
  </si>
  <si>
    <t>68 кв (3 вид) 0 діл.</t>
  </si>
  <si>
    <t>68 кв (3 вид) 0 діл. 556646 СРВ</t>
  </si>
  <si>
    <t>68 кв (7 вид) 0 діл.</t>
  </si>
  <si>
    <t>68 кв (7 вид) 0 діл. 556646 СРВ</t>
  </si>
  <si>
    <t>94 кв (2 вид) 0 діл.</t>
  </si>
  <si>
    <t>94 кв (2 вид) 0 діл. 556646 СРВ</t>
  </si>
  <si>
    <t>97 кв (3 вид) 0 діл.</t>
  </si>
  <si>
    <t>97 кв (3 вид) 0 діл. 556646 СРВ</t>
  </si>
  <si>
    <t>101 кв (5 вид) 0 діл.</t>
  </si>
  <si>
    <t>101 кв (5 вид) 0 діл. 556646 СРВ</t>
  </si>
  <si>
    <t>132 кв (7 вид) 0 діл.</t>
  </si>
  <si>
    <t>132 кв (7 вид) 0 діл. 556646 СРВ</t>
  </si>
  <si>
    <t>78 кв (2 вид) 0 діл. 556617 РГК</t>
  </si>
  <si>
    <t>17 кв (3 вид) 0 діл.</t>
  </si>
  <si>
    <t>17 кв (3 вид) 0 діл. 556650 СРВ</t>
  </si>
  <si>
    <t>33 кв (3 вид) 0 діл.</t>
  </si>
  <si>
    <t>33 кв (3 вид) 0 діл. 556650 СРВ</t>
  </si>
  <si>
    <t>65 кв (4 вид) 0 діл. 556650 СРВ</t>
  </si>
  <si>
    <t>67 кв (5 вид) 0 діл.</t>
  </si>
  <si>
    <t>67 кв (5 вид) 0 діл. 556650 СРВ</t>
  </si>
  <si>
    <t>94 кв (3 вид) 0 діл. 556650 СРВ</t>
  </si>
  <si>
    <t>109 кв (4 вид) 0 діл.</t>
  </si>
  <si>
    <t>109 кв (4 вид) 0 діл. 556650 СРВ</t>
  </si>
  <si>
    <t>138 кв (9 вид) 1 діл.</t>
  </si>
  <si>
    <t>138 кв (9 вид) 1 діл. 556650 СРВ</t>
  </si>
  <si>
    <t>5 кв (2 вид) 0 діл. 556624 ПРЧ</t>
  </si>
  <si>
    <t>127 кв (4 вид) 0 діл.</t>
  </si>
  <si>
    <t>127 кв (4 вид) 0 діл. 556624 ПРЧ</t>
  </si>
  <si>
    <t>72 кв (3 вид) 0 діл.</t>
  </si>
  <si>
    <t>72 кв (3 вид) 0 діл. 556643 СРВ</t>
  </si>
  <si>
    <t>72 кв (2 вид) 0 діл. 556643 СРВ</t>
  </si>
  <si>
    <t>41 кв (12 вид) 0 діл. 556643 СРВ</t>
  </si>
  <si>
    <t>32 кв (11 вид) 0 діл.</t>
  </si>
  <si>
    <t>32 кв (11 вид) 0 діл. 556643 СРВ</t>
  </si>
  <si>
    <t>58 кв (5 вид) 0 діл.</t>
  </si>
  <si>
    <t>58 кв (5 вид) 0 діл. 556643 СРВ</t>
  </si>
  <si>
    <t>47 кв (5 вид) 0 діл.</t>
  </si>
  <si>
    <t>47 кв (5 вид) 0 діл. 556651 СРВ</t>
  </si>
  <si>
    <t>47 кв (6 вид) 0 діл.</t>
  </si>
  <si>
    <t>47 кв (6 вид) 0 діл. 556651 СРВ</t>
  </si>
  <si>
    <t>47 кв (10 вид) 0 діл.</t>
  </si>
  <si>
    <t>47 кв (10 вид) 0 діл. 556651 СРВ</t>
  </si>
  <si>
    <t>56 кв (2 вид) 0 діл.</t>
  </si>
  <si>
    <t>56 кв (2 вид) 0 діл. 556651 СРВ</t>
  </si>
  <si>
    <t>93 кв (3 вид) 0 діл. 556651 СРВ</t>
  </si>
  <si>
    <t>22 кв (12 вид) 0 діл.</t>
  </si>
  <si>
    <t>22 кв (12 вид) 0 діл. 556650 ПРЖ</t>
  </si>
  <si>
    <t>34 кв (5 вид) 0 діл.</t>
  </si>
  <si>
    <t>34 кв (5 вид) 0 діл. 556624 ПРЧ</t>
  </si>
  <si>
    <t>34 кв (6 вид) 0 діл.</t>
  </si>
  <si>
    <t>34 кв (6 вид) 0 діл. 556624 ПРЧ</t>
  </si>
  <si>
    <t>34 кв (1 вид) 0 діл. 556652 СРВ</t>
  </si>
  <si>
    <t>38 кв (3 вид) 1 діл.</t>
  </si>
  <si>
    <t>38 кв (3 вид) 1 діл. 556652 СРВ</t>
  </si>
  <si>
    <t>98 кв (9 вид) 0 діл.</t>
  </si>
  <si>
    <t>98 кв (9 вид) 0 діл. 556652 СРВ</t>
  </si>
  <si>
    <t>106 кв (11 вид) 1 діл.</t>
  </si>
  <si>
    <t>106 кв (11 вид) 1 діл. 556652 СРВ</t>
  </si>
  <si>
    <t>67 кв (3 вид) 0 діл.</t>
  </si>
  <si>
    <t>67 кв (3 вид) 0 діл. 556630 ПРЧ</t>
  </si>
  <si>
    <t>59 кв (2 вид) 0 діл.</t>
  </si>
  <si>
    <t>59 кв (2 вид) 0 діл. 556636 ПРЧ</t>
  </si>
  <si>
    <t>68 кв (5 вид) 0 діл. 556636 ПРЧ</t>
  </si>
  <si>
    <t>61 кв (9 вид) 0 діл.</t>
  </si>
  <si>
    <t>61 кв (9 вид) 0 діл. 556637 ПРЖ</t>
  </si>
  <si>
    <t>34 кв (7 вид) 1 діл.</t>
  </si>
  <si>
    <t>34 кв (7 вид) 1 діл. 556622 РГК</t>
  </si>
  <si>
    <t>50 кв (5 вид) 1 діл.</t>
  </si>
  <si>
    <t>50 кв (5 вид) 1 діл. 556622 РГК</t>
  </si>
  <si>
    <t>100 кв (2 вид) 1 діл.</t>
  </si>
  <si>
    <t>100 кв (2 вид) 1 діл. 556620 РГК</t>
  </si>
  <si>
    <t>14 кв (2 вид) 0 діл.</t>
  </si>
  <si>
    <t>14 кв (2 вид) 0 діл. 556654 СРВ</t>
  </si>
  <si>
    <t>108 кв (1 вид) 1 діл.</t>
  </si>
  <si>
    <t>108 кв (1 вид) 1 діл. 556654 СРВ</t>
  </si>
  <si>
    <t>65 кв (7 вид) 0 діл.</t>
  </si>
  <si>
    <t>65 кв (7 вид) 0 діл. 556654 СРВ</t>
  </si>
  <si>
    <t>17 кв (8 вид) 0 діл.</t>
  </si>
  <si>
    <t>17 кв (8 вид) 0 діл. 556659 СРВ</t>
  </si>
  <si>
    <t>17 кв (11 вид) 0 діл.</t>
  </si>
  <si>
    <t>17 кв (11 вид) 0 діл. 556659 СРВ</t>
  </si>
  <si>
    <t>17 кв (3 вид) 0 діл. 556659 СРВ</t>
  </si>
  <si>
    <t>17 кв (7 вид) 0 діл.</t>
  </si>
  <si>
    <t>17 кв (7 вид) 0 діл. 556659 СРВ</t>
  </si>
  <si>
    <t>17 кв (9 вид) 0 діл.</t>
  </si>
  <si>
    <t>17 кв (9 вид) 0 діл. 556659 СРВ</t>
  </si>
  <si>
    <t>17 кв (5 вид) 0 діл.</t>
  </si>
  <si>
    <t>17 кв (5 вид) 0 діл. 556659 СРВ</t>
  </si>
  <si>
    <t>17 кв (2 вид) 0 діл.</t>
  </si>
  <si>
    <t>17 кв (2 вид) 0 діл. 556659 СРВ</t>
  </si>
  <si>
    <t>17 кв (6 вид) 0 діл.</t>
  </si>
  <si>
    <t>17 кв (6 вид) 0 діл. 556659 СРВ</t>
  </si>
  <si>
    <t>117 кв (11 вид) 1 діл.</t>
  </si>
  <si>
    <t>117 кв (11 вид) 1 діл. 556661 рубка в охоронній зоні ЛЕП</t>
  </si>
  <si>
    <t>117 кв (8 вид) 0 діл.</t>
  </si>
  <si>
    <t>117 кв (8 вид) 0 діл. 556661 рубка в охоронній зоні ЛЕП</t>
  </si>
  <si>
    <t>117 кв (9 вид) 0 діл.</t>
  </si>
  <si>
    <t>117 кв (9 вид) 0 діл. 556661 рубка в охоронній зоні ЛЕП</t>
  </si>
  <si>
    <t>47 кв (2 вид) 0 діл. 556657 СРВ</t>
  </si>
  <si>
    <t>53 кв (5 вид) 0 діл. 556657 СРВ</t>
  </si>
  <si>
    <t>58 кв (9 вид) 0 діл. 556657 СРВ</t>
  </si>
  <si>
    <t>8 кв (11 вид) 0 діл.</t>
  </si>
  <si>
    <t>8 кв (11 вид) 0 діл. 556660 СРВ</t>
  </si>
  <si>
    <t>7 кв (6 вид) 0 діл.</t>
  </si>
  <si>
    <t>7 кв (6 вид) 0 діл. 556660 СРВ</t>
  </si>
  <si>
    <t>89 кв (1 вид) 0 діл. 556660 СРВ</t>
  </si>
  <si>
    <t>19 кв (1 вид) 0 діл.</t>
  </si>
  <si>
    <t>19 кв (1 вид) 0 діл. 556660 СРВ</t>
  </si>
  <si>
    <t>98 кв (1 вид) 0 діл.</t>
  </si>
  <si>
    <t>98 кв (1 вид) 0 діл. 556660 СРВ</t>
  </si>
  <si>
    <t>97 кв (3 вид) 1 діл.</t>
  </si>
  <si>
    <t>97 кв (3 вид) 1 діл. 556660 СРВ</t>
  </si>
  <si>
    <t>99 кв (2 вид) 5 діл.</t>
  </si>
  <si>
    <t>99 кв (2 вид) 5 діл. 556660 СРВ</t>
  </si>
  <si>
    <t>99 кв (2 вид) 4 діл.</t>
  </si>
  <si>
    <t>99 кв (2 вид) 4 діл. 556660 СРВ</t>
  </si>
  <si>
    <t>167 кв (4 вид) 0 діл.</t>
  </si>
  <si>
    <t>167 кв (4 вид) 0 діл. 556660 СРВ</t>
  </si>
  <si>
    <t>7 кв (10 вид) 1 діл.</t>
  </si>
  <si>
    <t>7 кв (10 вид) 1 діл. 556660 СРВ</t>
  </si>
  <si>
    <t>7 кв (7 вид) 1 діл.</t>
  </si>
  <si>
    <t>7 кв (7 вид) 1 діл. 556660 СРВ</t>
  </si>
  <si>
    <t>96 кв (12 вид) 0 діл.</t>
  </si>
  <si>
    <t>96 кв (12 вид) 0 діл. 556660 СРВ</t>
  </si>
  <si>
    <t>161 кв (14 вид) 0 діл.</t>
  </si>
  <si>
    <t>161 кв (14 вид) 0 діл. 556660 СРВ</t>
  </si>
  <si>
    <t>98 кв (10 вид) 1 діл.</t>
  </si>
  <si>
    <t>98 кв (10 вид) 1 діл. 556653 ПРХ</t>
  </si>
  <si>
    <t>47 кв (4 вид) 0 діл.</t>
  </si>
  <si>
    <t>47 кв (4 вид) 0 діл. 556655 СРВ</t>
  </si>
  <si>
    <t>63 кв (4 вид) 0 діл.</t>
  </si>
  <si>
    <t>63 кв (4 вид) 0 діл. 556655 СРВ</t>
  </si>
  <si>
    <t>111 кв (2 вид) 0 діл.</t>
  </si>
  <si>
    <t>111 кв (2 вид) 0 діл. 556655 СРВ</t>
  </si>
  <si>
    <t>4 кв (11 вид) 0 діл.</t>
  </si>
  <si>
    <t>4 кв (11 вид) 0 діл. 556645 СРВ</t>
  </si>
  <si>
    <t>4 кв (9 вид) 0 діл.</t>
  </si>
  <si>
    <t>4 кв (9 вид) 0 діл. 556645 СРВ</t>
  </si>
  <si>
    <t>6 кв (7 вид) 0 діл.</t>
  </si>
  <si>
    <t>6 кв (7 вид) 0 діл. 556645 СРВ</t>
  </si>
  <si>
    <t>111 кв (1 вид) 1 діл. 556655 РКП</t>
  </si>
  <si>
    <t>111 кв (2 вид) 1 діл.</t>
  </si>
  <si>
    <t>111 кв (2 вид) 1 діл. 556655 РКП</t>
  </si>
  <si>
    <t>11 кв (6 вид) 0 діл.</t>
  </si>
  <si>
    <t>11 кв (6 вид) 0 діл. 556658 СРВ</t>
  </si>
  <si>
    <t>66 кв (3 вид) 0 діл. 556658 СРВ</t>
  </si>
  <si>
    <t>71 кв (2 вид) 0 діл. 556658 СРВ</t>
  </si>
  <si>
    <t>71 кв (3 вид) 0 діл.</t>
  </si>
  <si>
    <t>71 кв (3 вид) 0 діл. 556658 СРВ</t>
  </si>
  <si>
    <t>81 кв (1 вид) 0 діл. 556658 СРВ</t>
  </si>
  <si>
    <t>69 кв (1 вид) 0 діл. 556663 СРВ</t>
  </si>
  <si>
    <t>95 кв (14 вид) 0 діл.</t>
  </si>
  <si>
    <t>95 кв (14 вид) 0 діл. 556663 СРВ</t>
  </si>
  <si>
    <t>99 кв (2 вид) 0 діл. 556663 СРВ</t>
  </si>
  <si>
    <t>113 кв (5 вид) 0 діл.</t>
  </si>
  <si>
    <t>113 кв (5 вид) 0 діл. 556663 СРВ</t>
  </si>
  <si>
    <t>24 кв (1 вид) 0 діл.</t>
  </si>
  <si>
    <t>24 кв (1 вид) 0 діл. 556662 СРВ</t>
  </si>
  <si>
    <t>40 кв (2 вид) 0 діл.</t>
  </si>
  <si>
    <t>40 кв (2 вид) 0 діл. 556662 СРВ</t>
  </si>
  <si>
    <t>76 кв (7 вид) 0 діл.</t>
  </si>
  <si>
    <t>76 кв (7 вид) 0 діл. 556662 СРВ</t>
  </si>
  <si>
    <t>23 кв (3 вид) 0 діл. 556662 СРВ</t>
  </si>
  <si>
    <t>52 кв (3 вид) 0 діл. 556619 РГК</t>
  </si>
  <si>
    <t>96 кв (10 вид) 0 діл.</t>
  </si>
  <si>
    <t>96 кв (10 вид) 0 діл. 556627 ПРЧ</t>
  </si>
  <si>
    <t>94 кв (3 вид) 0 діл. 556618 РГК</t>
  </si>
  <si>
    <t>93 кв (2 вид) 0 діл. 556667 ОСВ</t>
  </si>
  <si>
    <t>92 кв (8 вид) 0 діл. 556667 ОСВ</t>
  </si>
  <si>
    <t>93 кв (16 вид) 0 діл.</t>
  </si>
  <si>
    <t>93 кв (16 вид) 0 діл. 556667 ОСВ</t>
  </si>
  <si>
    <t>93 кв (17 вид) 0 діл.</t>
  </si>
  <si>
    <t>93 кв (17 вид) 0 діл. 556630 ПРЧ</t>
  </si>
  <si>
    <t>93 кв (19 вид) 0 діл.</t>
  </si>
  <si>
    <t>93 кв (19 вид) 0 діл. 556630 ПРЧ</t>
  </si>
  <si>
    <t>20 кв (4 вид) 1 діл. 556621 РГК</t>
  </si>
  <si>
    <t>18 кв (4 вид) 0 діл. 556670 ЛД</t>
  </si>
  <si>
    <t>15 кв (6 вид) 0 діл.</t>
  </si>
  <si>
    <t>15 кв (6 вид) 0 діл. 556670 ЛД</t>
  </si>
  <si>
    <t>16 кв (5 вид) 0 діл.</t>
  </si>
  <si>
    <t>16 кв (5 вид) 0 діл. 556670 ЛД</t>
  </si>
  <si>
    <t>6 кв (2 вид) 0 діл. 556670 ЛД</t>
  </si>
  <si>
    <t>9 кв (4 вид) 0 діл.</t>
  </si>
  <si>
    <t>9 кв (4 вид) 0 діл. 556670 ЛД</t>
  </si>
  <si>
    <t>105 кв (5 вид) 0 діл.</t>
  </si>
  <si>
    <t>105 кв (5 вид) 0 діл. 556671 ОСВ</t>
  </si>
  <si>
    <t>75 кв (5 вид) 0 діл.</t>
  </si>
  <si>
    <t>75 кв (5 вид) 0 діл. 556619 РГК</t>
  </si>
  <si>
    <t>76 кв (2 вид) 0 діл.</t>
  </si>
  <si>
    <t>76 кв (2 вид) 0 діл. 556619 РГК</t>
  </si>
  <si>
    <t>3 кв (3 вид) 1 діл.</t>
  </si>
  <si>
    <t>3 кв (3 вид) 1 діл. 556617 РГК</t>
  </si>
  <si>
    <t>24 кв (3 вид) 0 діл.</t>
  </si>
  <si>
    <t>24 кв (3 вид) 0 діл. 556617 РГК</t>
  </si>
  <si>
    <t>51 кв (7 вид) 0 діл.</t>
  </si>
  <si>
    <t>51 кв (7 вид) 0 діл. 556635 ПРЧ</t>
  </si>
  <si>
    <t>78 кв (17 вид) 0 діл.</t>
  </si>
  <si>
    <t>78 кв (17 вид) 0 діл. 556635 ПРЧ</t>
  </si>
  <si>
    <t>61 кв (13 вид) 0 діл.</t>
  </si>
  <si>
    <t>61 кв (13 вид) 0 діл. 556635 ПРЧ</t>
  </si>
  <si>
    <t>44 кв (5 вид) 0 діл.</t>
  </si>
  <si>
    <t>44 кв (5 вид) 0 діл. 556635 ПРХ</t>
  </si>
  <si>
    <t>53 кв (1 вид) 2 діл.</t>
  </si>
  <si>
    <t>53 кв (1 вид) 2 діл. 556635 ПРХ</t>
  </si>
  <si>
    <t>35 кв (8 вид) 0 діл.</t>
  </si>
  <si>
    <t>35 кв (8 вид) 0 діл. 556633 ПРЧ</t>
  </si>
  <si>
    <t>113 кв (11 вид) 0 діл.</t>
  </si>
  <si>
    <t>113 кв (11 вид) 0 діл. 556620 РГК</t>
  </si>
  <si>
    <t>115 кв (6 вид) 0 діл.</t>
  </si>
  <si>
    <t>115 кв (6 вид) 0 діл. 556620 РГК</t>
  </si>
  <si>
    <t>44 кв (1 вид) 0 діл.</t>
  </si>
  <si>
    <t>44 кв (1 вид) 0 діл. 556633 ПРЧ</t>
  </si>
  <si>
    <t>39 кв (9 вид) 0 діл.</t>
  </si>
  <si>
    <t>39 кв (9 вид) 0 діл. 556633 ПРЧ</t>
  </si>
  <si>
    <t>85 кв (5 вид) 0 діл.</t>
  </si>
  <si>
    <t>85 кв (5 вид) 0 діл. 556629 ПРХ</t>
  </si>
  <si>
    <t>10 кв (4 вид) 0 діл.</t>
  </si>
  <si>
    <t>10 кв (4 вид) 0 діл. 556627 ПРЧ</t>
  </si>
  <si>
    <t>101 кв (9 вид) 0 діл.</t>
  </si>
  <si>
    <t>101 кв (9 вид) 0 діл. 556669 ОСВ</t>
  </si>
  <si>
    <t>96 кв (7 вид) 0 діл.</t>
  </si>
  <si>
    <t>96 кв (7 вид) 0 діл. 556669 ОСВ</t>
  </si>
  <si>
    <t>126 кв (1 вид) 0 діл.</t>
  </si>
  <si>
    <t>126 кв (1 вид) 0 діл. 556669 ОСВ</t>
  </si>
  <si>
    <t>170 кв (6 вид) 0 діл.</t>
  </si>
  <si>
    <t>170 кв (6 вид) 0 діл. 556669 ОСВ</t>
  </si>
  <si>
    <t>74 кв (4 вид) 0 діл.</t>
  </si>
  <si>
    <t>74 кв (4 вид) 0 діл. 556671 ОСВ</t>
  </si>
  <si>
    <t>10 кв (11 вид) 0 діл.</t>
  </si>
  <si>
    <t>10 кв (11 вид) 0 діл. 556672 РЛД</t>
  </si>
  <si>
    <t>69 кв (4 вид) 0 діл.</t>
  </si>
  <si>
    <t>69 кв (4 вид) 0 діл. 556625 ПРЖ</t>
  </si>
  <si>
    <t>98 кв (1 вид) 0 діл. 556625 ПРЖ</t>
  </si>
  <si>
    <t>120 кв (12 вид) 0 діл.</t>
  </si>
  <si>
    <t>120 кв (12 вид) 0 діл. 556625 ПРЖ</t>
  </si>
  <si>
    <t>120 кв (13 вид) 0 діл.</t>
  </si>
  <si>
    <t>120 кв (13 вид) 0 діл. 556625 ПРЖ</t>
  </si>
  <si>
    <t>4 кв (3 вид) 2 діл.</t>
  </si>
  <si>
    <t>4 кв (3 вид) 2 діл. 556626 ПРХ</t>
  </si>
  <si>
    <t>53 кв (13 вид) 0 діл.</t>
  </si>
  <si>
    <t>53 кв (13 вид) 0 діл. 556626 ПРХ</t>
  </si>
  <si>
    <t>63 кв (4 вид) 0 діл. 556626 ПРХ</t>
  </si>
  <si>
    <t>96 кв (1 вид) 0 діл.</t>
  </si>
  <si>
    <t>96 кв (1 вид) 0 діл. 556626 ПРХ</t>
  </si>
  <si>
    <t>102 кв (2 вид) 0 діл.</t>
  </si>
  <si>
    <t>102 кв (2 вид) 0 діл. 556626 ПРХ</t>
  </si>
  <si>
    <t>33 кв (5 вид) 0 діл.</t>
  </si>
  <si>
    <t>33 кв (5 вид) 0 діл. 556626 ПРХ</t>
  </si>
  <si>
    <t>106 кв (3 вид) 2 діл.</t>
  </si>
  <si>
    <t>106 кв (3 вид) 2 діл. 556622 РГК</t>
  </si>
  <si>
    <t>101 кв (12 вид)  діл. 556622 РГК</t>
  </si>
  <si>
    <t>133 кв (10 вид) 0 діл.</t>
  </si>
  <si>
    <t>133 кв (10 вид) 0 діл. 556640 ПРЖ</t>
  </si>
  <si>
    <t>134 кв (6 вид) 0 діл.</t>
  </si>
  <si>
    <t>134 кв (6 вид) 0 діл. 556640 ПРЖ</t>
  </si>
  <si>
    <t>28 кв (3 вид) 0 діл.</t>
  </si>
  <si>
    <t>28 кв (3 вид) 0 діл. 556640 ПРЖ</t>
  </si>
  <si>
    <t>49 кв (1,2 вид)  діл.</t>
  </si>
  <si>
    <t>49 кв (1,2 вид)  діл. 556622 РГК</t>
  </si>
  <si>
    <t>10 кв (2 вид) 0 діл. 556672 РЛД</t>
  </si>
  <si>
    <t>125 кв (22 вид) 0 діл.</t>
  </si>
  <si>
    <t>125 кв (22 вид) 0 діл. 556672 РЛД</t>
  </si>
  <si>
    <t>125 кв (18 вид) 0 діл.</t>
  </si>
  <si>
    <t>125 кв (18 вид) 0 діл. 556672 РЛД</t>
  </si>
  <si>
    <t>95 кв (2 вид) 0 діл.</t>
  </si>
  <si>
    <t>95 кв (2 вид) 0 діл. 556703 РЛД</t>
  </si>
  <si>
    <t>32 кв (4 вид) 0 діл.</t>
  </si>
  <si>
    <t>32 кв (4 вид) 0 діл. 556630 ПРЧ</t>
  </si>
  <si>
    <t>20 кв (5 вид) 0 діл.</t>
  </si>
  <si>
    <t>20 кв (5 вид) 0 діл. 556667 ОСВ</t>
  </si>
  <si>
    <t>58 кв (12 вид) 1 діл.</t>
  </si>
  <si>
    <t>58 кв (12 вид) 1 діл. 556701 РЛД</t>
  </si>
  <si>
    <t>58 кв (14 вид) 1 діл.</t>
  </si>
  <si>
    <t>58 кв (14 вид) 1 діл. 556701 РЛД</t>
  </si>
  <si>
    <t>58 кв (15 вид) 1 діл. 556701 РЛД</t>
  </si>
  <si>
    <t>67 кв (5 вид) 1 діл.</t>
  </si>
  <si>
    <t>67 кв (5 вид) 1 діл. 556702 рубка в охоронній зоні ЛЕП</t>
  </si>
  <si>
    <t>58 кв (13 вид) 1 діл.</t>
  </si>
  <si>
    <t>58 кв (13 вид) 1 діл. 556702 рубка в охоронній зоні ЛЕП</t>
  </si>
  <si>
    <t>58 кв (11 вид) 1 діл.</t>
  </si>
  <si>
    <t>58 кв (11 вид) 1 діл. 556702 рубка в охоронній зоні ЛЕП</t>
  </si>
  <si>
    <t>54 кв (9 вид) 1 діл. 556702 рубка в охоронній зоні ЛЕП</t>
  </si>
  <si>
    <t>54 кв (4 вид) 1 діл.</t>
  </si>
  <si>
    <t>54 кв (4 вид) 1 діл. 556702 рубка в охоронній зоні ЛЕП</t>
  </si>
  <si>
    <t>53 кв (8 вид) 1 діл.</t>
  </si>
  <si>
    <t>53 кв (8 вид) 1 діл. 556702 рубка в охоронній зоні ЛЕП</t>
  </si>
  <si>
    <t>53 кв (1 вид) 1 діл.</t>
  </si>
  <si>
    <t>53 кв (1 вид) 1 діл. 556702 рубка в охоронній зоні ЛЕП</t>
  </si>
  <si>
    <t>53 кв (5 вид) 1 діл.</t>
  </si>
  <si>
    <t>53 кв (5 вид) 1 діл. 556702 рубка в охоронній зоні ЛЕП</t>
  </si>
  <si>
    <t>54 кв (1 вид) 1 діл.</t>
  </si>
  <si>
    <t>54 кв (1 вид) 1 діл. 556702 рубка в охоронній зоні ЛЕП</t>
  </si>
  <si>
    <t>54 кв (2 вид) 1 діл.</t>
  </si>
  <si>
    <t>54 кв (2 вид) 1 діл. 556702 рубка в охоронній зоні ЛЕП</t>
  </si>
  <si>
    <t>54 кв (7 вид) 0 діл.</t>
  </si>
  <si>
    <t>54 кв (7 вид) 0 діл. 556702 рубка в охоронній зоні ЛЕП</t>
  </si>
  <si>
    <t>55 кв (1 вид) 1 діл.</t>
  </si>
  <si>
    <t>55 кв (1 вид) 1 діл. 556702 рубка в охоронній зоні ЛЕП</t>
  </si>
  <si>
    <t>55 кв (7 вид) 1 діл.</t>
  </si>
  <si>
    <t>55 кв (7 вид) 1 діл. 556702 рубка в охоронній зоні ЛЕП</t>
  </si>
  <si>
    <t>126 кв (5 вид) 1 діл.</t>
  </si>
  <si>
    <t>126 кв (5 вид) 1 діл. 556702 рубка в охоронній зоні ЛЕП</t>
  </si>
  <si>
    <t>27 кв (2 вид) 0 діл.</t>
  </si>
  <si>
    <t>27 кв (2 вид) 0 діл. 556667 ОСВ</t>
  </si>
  <si>
    <t>27 кв (7 вид) 0 діл.</t>
  </si>
  <si>
    <t>27 кв (7 вид) 0 діл. 556667 ОСВ</t>
  </si>
  <si>
    <t>27 кв (8 вид) 0 діл.</t>
  </si>
  <si>
    <t>27 кв (8 вид) 0 діл. 556667 ОСВ</t>
  </si>
  <si>
    <t>65 кв (4 вид) 0 діл. 556667 ОСВ</t>
  </si>
  <si>
    <t>52 кв (4 вид) 0 діл.</t>
  </si>
  <si>
    <t>52 кв (4 вид) 0 діл. 556667 ОСВ</t>
  </si>
  <si>
    <t>39 кв (5 вид) 0 діл.</t>
  </si>
  <si>
    <t>39 кв (5 вид) 0 діл. 556620 РГК</t>
  </si>
  <si>
    <t>11 кв (4 вид) 0 діл.</t>
  </si>
  <si>
    <t>11 кв (4 вид) 0 діл. 556704 Догляд за ПЛНД</t>
  </si>
  <si>
    <t>82 кв (4 вид) 0 діл.</t>
  </si>
  <si>
    <t>82 кв (4 вид) 0 діл. 556628 ПРЖ</t>
  </si>
  <si>
    <t>82 кв (3 вид) 0 діл.</t>
  </si>
  <si>
    <t>82 кв (3 вид) 0 діл. 556628 ПРЖ</t>
  </si>
  <si>
    <t>37 кв (6 вид) 0 діл.</t>
  </si>
  <si>
    <t>37 кв (6 вид) 0 діл. 556705 ЛД</t>
  </si>
  <si>
    <t>63 кв (4 вид) 0 діл. 556705 ЛД</t>
  </si>
  <si>
    <t>94 кв (3 вид) 0 діл. 556705 ЛД</t>
  </si>
  <si>
    <t>77 кв (3 вид) 0 діл.</t>
  </si>
  <si>
    <t>77 кв (3 вид) 0 діл. 556705 ЛД</t>
  </si>
  <si>
    <t>99 кв (2 вид) 2 діл. 556705 ЛД</t>
  </si>
  <si>
    <t>68 кв (4 вид) 0 діл. 556627 ПРЧ</t>
  </si>
  <si>
    <t>79 кв (8 вид) 0 діл. 556627 ПРЧ</t>
  </si>
  <si>
    <t>103 кв (2 вид) 0 діл.</t>
  </si>
  <si>
    <t>103 кв (2 вид) 0 діл. 556627 ПРЧ</t>
  </si>
  <si>
    <t>79 кв (8 вид) 0 діл. 556628 ПРЧ</t>
  </si>
  <si>
    <t>43 кв (6 вид) 0 діл.</t>
  </si>
  <si>
    <t>43 кв (6 вид) 0 діл. 556620 РГК</t>
  </si>
  <si>
    <t>68 кв (5 вид) 0 діл. 556622 РГК</t>
  </si>
  <si>
    <t>72 кв (9 вид) 1 діл.</t>
  </si>
  <si>
    <t>72 кв (9 вид) 1 діл. 556700 Догляд за ПЛНД</t>
  </si>
  <si>
    <t>60 кв (4 вид) 0 діл.</t>
  </si>
  <si>
    <t>60 кв (4 вид) 0 діл. 556636 ПРЧ</t>
  </si>
  <si>
    <t>11 кв (1 вид) 0 діл.</t>
  </si>
  <si>
    <t>11 кв (1 вид) 0 діл. 556618 РГК</t>
  </si>
  <si>
    <t>136 кв (61 вид) 0 діл.</t>
  </si>
  <si>
    <t>136 кв (61 вид) 0 діл. 556618 РГК</t>
  </si>
  <si>
    <t>105 кв (2 вид) 0 діл.</t>
  </si>
  <si>
    <t>105 кв (2 вид) 0 діл. 556665 ПРЧ</t>
  </si>
  <si>
    <t>79 кв (8 вид) 0 діл. 556634 ПРЖ</t>
  </si>
  <si>
    <t>22 кв (12 вид) 0 діл. 556625 ПРЖ</t>
  </si>
  <si>
    <t>51 кв (2 вид) 0 діл.</t>
  </si>
  <si>
    <t>51 кв (2 вид) 0 діл. 556710 ОСВ</t>
  </si>
  <si>
    <t>78 кв (3 вид) 0 діл.</t>
  </si>
  <si>
    <t>78 кв (3 вид) 0 діл. 556710 ОСВ</t>
  </si>
  <si>
    <t>126 кв (3 вид) 0 діл.</t>
  </si>
  <si>
    <t>126 кв (3 вид) 0 діл. 556672 РЛД</t>
  </si>
  <si>
    <t>126 кв (4 вид) 0 діл.</t>
  </si>
  <si>
    <t>126 кв (4 вид) 0 діл. 556672 РЛД</t>
  </si>
  <si>
    <t>137 кв (14 вид) 1 діл.</t>
  </si>
  <si>
    <t>137 кв (14 вид) 1 діл. 556620 РГК</t>
  </si>
  <si>
    <t>117 кв (11 вид) 0 діл. 556712 РЛД</t>
  </si>
  <si>
    <t>112 кв (5 вид) 0 діл.</t>
  </si>
  <si>
    <t>112 кв (5 вид) 0 діл. 556641 ПРХ</t>
  </si>
  <si>
    <t>98 кв (6 вид) 0 діл.</t>
  </si>
  <si>
    <t>98 кв (6 вид) 0 діл. 556641 ПРХ</t>
  </si>
  <si>
    <t>98 кв (8 вид) 1 діл.</t>
  </si>
  <si>
    <t>98 кв (8 вид) 1 діл. 556640 ПРЖ</t>
  </si>
  <si>
    <t>81 кв (5 вид) 0 діл.</t>
  </si>
  <si>
    <t>81 кв (5 вид) 0 діл. 556639 ПРЧ</t>
  </si>
  <si>
    <t>125 кв (16 вид) 0 діл.</t>
  </si>
  <si>
    <t>125 кв (16 вид) 0 діл. 556670 РЛД</t>
  </si>
  <si>
    <t>38 кв (2 вид) 0 діл. 556665 ПРЧ</t>
  </si>
  <si>
    <t>86 кв (1 вид) 1 діл.</t>
  </si>
  <si>
    <t>86 кв (1 вид) 1 діл. 556706 РЛД</t>
  </si>
  <si>
    <t>91 кв (10 вид) 0 діл.</t>
  </si>
  <si>
    <t>91 кв (10 вид) 0 діл. 556706 РЛД</t>
  </si>
  <si>
    <t>113 кв (14 вид) 0 діл.</t>
  </si>
  <si>
    <t>113 кв (14 вид) 0 діл. 556633 ПРЖ</t>
  </si>
  <si>
    <t>113 кв (14 вид) 0 діл. 556628 ПРЖ</t>
  </si>
  <si>
    <t>68 кв (9 вид) 0 діл.</t>
  </si>
  <si>
    <t>68 кв (9 вид) 0 діл. 556629 ПРХ</t>
  </si>
  <si>
    <t>15 кв (2 вид) 0 діл.</t>
  </si>
  <si>
    <t>15 кв (2 вид) 0 діл. 556711 СРВ</t>
  </si>
  <si>
    <t>53 кв (3 вид) 1 діл.</t>
  </si>
  <si>
    <t>53 кв (3 вид) 1 діл. 556711 СРВ</t>
  </si>
  <si>
    <t>54 кв (2 вид) 0 діл.</t>
  </si>
  <si>
    <t>54 кв (2 вид) 0 діл. 556711 СРВ</t>
  </si>
  <si>
    <t>124 кв (1 вид) 1 діл.</t>
  </si>
  <si>
    <t>124 кв (1 вид) 1 діл. 556711 СРВ</t>
  </si>
  <si>
    <t>40 кв (1 вид) 0 діл.</t>
  </si>
  <si>
    <t>40 кв (1 вид) 0 діл. 556711 СРВ</t>
  </si>
  <si>
    <t>159 кв (23 вид) 0 діл.</t>
  </si>
  <si>
    <t>159 кв (23 вид) 0 діл. 556711 СРВ</t>
  </si>
  <si>
    <t>43 кв (1 вид) 1 діл.</t>
  </si>
  <si>
    <t>43 кв (1 вид) 1 діл. 556711 СРВ</t>
  </si>
  <si>
    <t>46 кв (3 вид) 1 діл.</t>
  </si>
  <si>
    <t>46 кв (3 вид) 1 діл. 556707 РЛД</t>
  </si>
  <si>
    <t>46 кв (8 вид) 1 діл.</t>
  </si>
  <si>
    <t>46 кв (8 вид) 1 діл. 556707 РЛД</t>
  </si>
  <si>
    <t>58 кв (2 вид) 1 діл.</t>
  </si>
  <si>
    <t>58 кв (2 вид) 1 діл. 556707 РЛД</t>
  </si>
  <si>
    <t>59 кв (6 вид) 1 діл.</t>
  </si>
  <si>
    <t>59 кв (6 вид) 1 діл. 556707 РЛД</t>
  </si>
  <si>
    <t>85 кв (32 вид) 0 діл.</t>
  </si>
  <si>
    <t>85 кв (32 вид) 0 діл. 556665 ОСВ</t>
  </si>
  <si>
    <t>55 кв (4 вид) 0 діл.</t>
  </si>
  <si>
    <t>55 кв (4 вид) 0 діл. 556665 ОСВ</t>
  </si>
  <si>
    <t>51 кв (2 вид) 0 діл. 556617 РГК</t>
  </si>
  <si>
    <t>110 кв (6 вид) 0 діл. 556618 РГК</t>
  </si>
  <si>
    <t>125 кв (2 вид) 0 діл.</t>
  </si>
  <si>
    <t>125 кв (2 вид) 0 діл. 556709 СРВ</t>
  </si>
  <si>
    <t>19 кв (3 вид) 0 діл.</t>
  </si>
  <si>
    <t>19 кв (3 вид) 0 діл. 556709 СРВ</t>
  </si>
  <si>
    <t>81 кв (21 вид) 0 діл.</t>
  </si>
  <si>
    <t>81 кв (21 вид) 0 діл. 556713 СРВ</t>
  </si>
  <si>
    <t>81 кв (12 вид) 0 діл.</t>
  </si>
  <si>
    <t>81 кв (12 вид) 0 діл. 556713 СРВ</t>
  </si>
  <si>
    <t>65 кв (6 вид) 0 діл. 556713 СРВ</t>
  </si>
  <si>
    <t>78 кв (6 вид) 0 діл.</t>
  </si>
  <si>
    <t>78 кв (6 вид) 0 діл. 556713 СРВ</t>
  </si>
  <si>
    <t>32 кв (6 вид) 0 діл.</t>
  </si>
  <si>
    <t>32 кв (6 вид) 0 діл. 556713 СРВ</t>
  </si>
  <si>
    <t>70 кв (3 вид) 0 діл.</t>
  </si>
  <si>
    <t>70 кв (3 вид) 0 діл. 556713 СРВ</t>
  </si>
  <si>
    <t>11 кв (2 вид) 0 діл. 556709 СРВ</t>
  </si>
  <si>
    <t>9 кв (7 вид) 0 діл.</t>
  </si>
  <si>
    <t>9 кв (7 вид) 0 діл. 556709 СРВ</t>
  </si>
  <si>
    <t>125 кв (6 вид) 0 діл.</t>
  </si>
  <si>
    <t>125 кв (6 вид) 0 діл. 556709 СРВ</t>
  </si>
  <si>
    <t>43 кв (7 вид) 1 діл.</t>
  </si>
  <si>
    <t>43 кв (7 вид) 1 діл. 556707 РЛД</t>
  </si>
  <si>
    <t>46 кв (7 вид) 1 діл.</t>
  </si>
  <si>
    <t>46 кв (7 вид) 1 діл. 556707 РЛД</t>
  </si>
  <si>
    <t>47 кв (7 вид) 1 діл.</t>
  </si>
  <si>
    <t>47 кв (7 вид) 1 діл. 556707 РЛД</t>
  </si>
  <si>
    <t>48 кв (1 вид) 1 діл.</t>
  </si>
  <si>
    <t>48 кв (1 вид) 1 діл. 556707 РЛД</t>
  </si>
  <si>
    <t>72 кв (5 вид) 1 діл.</t>
  </si>
  <si>
    <t>72 кв (5 вид) 1 діл. 556707 РЛД</t>
  </si>
  <si>
    <t>75 кв (2 вид) 1 діл.</t>
  </si>
  <si>
    <t>75 кв (2 вид) 1 діл. 556707 РЛД</t>
  </si>
  <si>
    <t>94 кв (3 вид) 0 діл. 556671 ОСВ</t>
  </si>
  <si>
    <t>19 кв (6 вид) 0 діл.</t>
  </si>
  <si>
    <t>19 кв (6 вид) 0 діл. 556708 ЛД</t>
  </si>
  <si>
    <t>114 кв (4 вид) 0 діл.</t>
  </si>
  <si>
    <t>114 кв (4 вид) 0 діл. 556667 ОСВ</t>
  </si>
  <si>
    <t>60 кв (4 вид) 0 діл. 556665 ОСВ</t>
  </si>
  <si>
    <t>2 кв (8 вид) 0 діл.</t>
  </si>
  <si>
    <t>2 кв (8 вид) 0 діл. 556665 ОСВ</t>
  </si>
  <si>
    <t>93 кв (2 вид) 0 діл. 556665 ОСВ</t>
  </si>
  <si>
    <t>98 кв (2 вид) 0 діл. 556665 ОСВ</t>
  </si>
  <si>
    <t>48 кв (10 вид) 0 діл.</t>
  </si>
  <si>
    <t>48 кв (10 вид) 0 діл. 556624 ПРЧ</t>
  </si>
  <si>
    <t>18 кв (7 вид) 0 діл.</t>
  </si>
  <si>
    <t>18 кв (7 вид) 0 діл. 556715 СРВ</t>
  </si>
  <si>
    <t>111 кв (3 вид) 0 діл. 556715 СРВ</t>
  </si>
  <si>
    <t>122 кв (6 вид) 0 діл.</t>
  </si>
  <si>
    <t>122 кв (6 вид) 0 діл. 556715 СРВ</t>
  </si>
  <si>
    <t>122 кв (5 вид) 0 діл.</t>
  </si>
  <si>
    <t>122 кв (5 вид) 0 діл. 556715 СРВ</t>
  </si>
  <si>
    <t>81 кв (4 вид) 0 діл.</t>
  </si>
  <si>
    <t>81 кв (4 вид) 0 діл. 556715 СРВ</t>
  </si>
  <si>
    <t>121 кв (5 вид) 0 діл.</t>
  </si>
  <si>
    <t>121 кв (5 вид) 0 діл. 556715 СРВ</t>
  </si>
  <si>
    <t>137 кв (29 вид) 0 діл.</t>
  </si>
  <si>
    <t>137 кв (29 вид) 0 діл. 556715 СРВ</t>
  </si>
  <si>
    <t>67 кв (4 вид) 1 діл.</t>
  </si>
  <si>
    <t>67 кв (4 вид) 1 діл. 556715 СРВ</t>
  </si>
  <si>
    <t>100 кв (7 вид) 0 діл.</t>
  </si>
  <si>
    <t>100 кв (7 вид) 0 діл. 556715 СРВ</t>
  </si>
  <si>
    <t>63 кв (6 вид) 0 діл.</t>
  </si>
  <si>
    <t>63 кв (6 вид) 0 діл. 556715 СРВ</t>
  </si>
  <si>
    <t>63 кв (3 вид) 0 діл.</t>
  </si>
  <si>
    <t>63 кв (3 вид) 0 діл. 556714 СРВ</t>
  </si>
  <si>
    <t>114 кв (1 вид) 0 діл. 556714 СРВ</t>
  </si>
  <si>
    <t>10 кв (6 вид) 0 діл.</t>
  </si>
  <si>
    <t>10 кв (6 вид) 0 діл. 556672 РЛД</t>
  </si>
  <si>
    <t>30 кв (9 вид) 0 діл.</t>
  </si>
  <si>
    <t>30 кв (9 вид) 0 діл. 556665 ОСВ</t>
  </si>
  <si>
    <t>45 кв (2 вид) 0 діл.</t>
  </si>
  <si>
    <t>45 кв (2 вид) 0 діл. 556617 РГК</t>
  </si>
  <si>
    <t>10 кв (2 вид) 0 діл. 556622 РГК</t>
  </si>
  <si>
    <t>21 кв (2 вид) 1 діл. 556716 СРВ</t>
  </si>
  <si>
    <t>75 кв (2 вид) 0 діл.</t>
  </si>
  <si>
    <t>75 кв (2 вид) 0 діл. 556716 СРВ</t>
  </si>
  <si>
    <t>132 кв (7 вид) 0 діл. 556716 СРВ</t>
  </si>
  <si>
    <t>148 кв (6 вид) 0 діл.</t>
  </si>
  <si>
    <t>148 кв (6 вид) 0 діл. 556716 СРВ</t>
  </si>
  <si>
    <t>152 кв (9 вид) 0 діл.</t>
  </si>
  <si>
    <t>152 кв (9 вид) 0 діл. 556716 СРВ</t>
  </si>
  <si>
    <t>77 кв (8 вид) 0 діл. 556628 ПРЖ</t>
  </si>
  <si>
    <t>51 кв (4 вид) 0 діл. 556618 РГК</t>
  </si>
  <si>
    <t>130 кв (5 вид) 2 діл.</t>
  </si>
  <si>
    <t>130 кв (5 вид) 2 діл. 556618 РГК</t>
  </si>
  <si>
    <t>100 кв (17 вид) 0 діл.</t>
  </si>
  <si>
    <t>100 кв (17 вид) 0 діл. 556715 СРВ</t>
  </si>
  <si>
    <t>2 кв (7 вид) 0 діл.</t>
  </si>
  <si>
    <t>2 кв (7 вид) 0 діл. 556617 РГК</t>
  </si>
  <si>
    <t>57 кв (1 вид) 0 діл.</t>
  </si>
  <si>
    <t>57 кв (1 вид) 0 діл. 556666 ОСВ</t>
  </si>
  <si>
    <t>6 кв (5 вид) 0 діл.</t>
  </si>
  <si>
    <t>6 кв (5 вид) 0 діл. 556666 ОСВ</t>
  </si>
  <si>
    <t>69 кв (2 вид) 2 діл.</t>
  </si>
  <si>
    <t>69 кв (2 вид) 2 діл. 556620 РГК</t>
  </si>
  <si>
    <t>59 кв (5 вид) 1 діл.</t>
  </si>
  <si>
    <t>59 кв (5 вид) 1 діл. 556620 РГК</t>
  </si>
  <si>
    <t>50 кв (2 вид) 0 діл.</t>
  </si>
  <si>
    <t>50 кв (2 вид) 0 діл. 556620 РГК</t>
  </si>
  <si>
    <t>125 кв (2 вид) 1 діл.</t>
  </si>
  <si>
    <t>125 кв (2 вид) 1 діл. 556719 СРВ</t>
  </si>
  <si>
    <t>48 кв (1 вид) 0 діл. 556675 СРВ</t>
  </si>
  <si>
    <t>81 кв (21 вид) 1 діл.</t>
  </si>
  <si>
    <t>81 кв (21 вид) 1 діл. 556675 СРВ</t>
  </si>
  <si>
    <t>10 кв (10 вид) 0 діл.</t>
  </si>
  <si>
    <t>10 кв (10 вид) 0 діл. 556672 РЛД</t>
  </si>
  <si>
    <t>10 кв (7 вид) 0 діл.</t>
  </si>
  <si>
    <t>10 кв (7 вид) 0 діл. 556672 РЛД</t>
  </si>
  <si>
    <t>10 кв (8 вид) 0 діл.</t>
  </si>
  <si>
    <t>10 кв (8 вид) 0 діл. 556672 РЛД</t>
  </si>
  <si>
    <t>10 кв (4 вид) 0 діл. 556672 РЛД</t>
  </si>
  <si>
    <t>10 кв (1 вид) 0 діл.</t>
  </si>
  <si>
    <t>10 кв (1 вид) 0 діл. 556673 РЛД</t>
  </si>
  <si>
    <t>10 кв (5 вид) 0 діл. 556673 РЛД</t>
  </si>
  <si>
    <t>97 кв (10 вид) 0 діл. 556674 ПРХ</t>
  </si>
  <si>
    <t>17 кв (2 вид) 0 діл. 556679 СРВ</t>
  </si>
  <si>
    <t>123 кв (1 вид) 1 діл.</t>
  </si>
  <si>
    <t>123 кв (1 вид) 1 діл. 556677 ПРХ</t>
  </si>
  <si>
    <t>124 кв (1 вид) 2 діл.</t>
  </si>
  <si>
    <t>124 кв (1 вид) 2 діл. 556678 СРВ</t>
  </si>
  <si>
    <t>152 кв (9 вид) 1 діл.</t>
  </si>
  <si>
    <t>152 кв (9 вид) 1 діл. 556678 СРВ</t>
  </si>
  <si>
    <t>152 кв (11 вид) 1 діл.</t>
  </si>
  <si>
    <t>152 кв (11 вид) 1 діл. 556678 СРВ</t>
  </si>
  <si>
    <t>172 кв (1 вид) 0 діл.</t>
  </si>
  <si>
    <t>172 кв (1 вид) 0 діл. 556678 СРВ</t>
  </si>
  <si>
    <t>32 кв (30 вид) 0 діл.</t>
  </si>
  <si>
    <t>32 кв (30 вид) 0 діл. 556717 ЛД</t>
  </si>
  <si>
    <t>32 кв (25 вид) 0 діл.</t>
  </si>
  <si>
    <t>32 кв (25 вид) 0 діл. 556717 ЛД</t>
  </si>
  <si>
    <t>10 кв (3 вид) 0 діл.</t>
  </si>
  <si>
    <t>10 кв (3 вид) 0 діл. 556717 ЛД</t>
  </si>
  <si>
    <t>157 кв (34 вид) 0 діл.</t>
  </si>
  <si>
    <t>157 кв (34 вид) 0 діл. 556717 ЛД</t>
  </si>
  <si>
    <t>85 кв (13 вид) 0 діл.</t>
  </si>
  <si>
    <t>85 кв (13 вид) 0 діл. 556718 СРВ</t>
  </si>
  <si>
    <t>50 кв (1 вид) 0 діл.</t>
  </si>
  <si>
    <t>50 кв (1 вид) 0 діл. 556718 СРВ</t>
  </si>
  <si>
    <t>86 кв (4 вид) 0 діл. 556718 СРВ</t>
  </si>
  <si>
    <t>110 кв (6 вид) 0 діл. 556718 СРВ</t>
  </si>
  <si>
    <t>123 кв (5 вид) 0 діл.</t>
  </si>
  <si>
    <t>123 кв (5 вид) 0 діл. 556718 СРВ</t>
  </si>
  <si>
    <t>16 кв (3 вид) 1 діл.</t>
  </si>
  <si>
    <t>16 кв (3 вид) 1 діл. 556618 РГК</t>
  </si>
  <si>
    <t>31 кв (4 вид) 0 діл. 556684 СРВ</t>
  </si>
  <si>
    <t>79 кв (11 вид) 0 діл.</t>
  </si>
  <si>
    <t>79 кв (11 вид) 0 діл. 556684 СРВ</t>
  </si>
  <si>
    <t>65 кв (3 вид) 0 діл. 556683 СРВ</t>
  </si>
  <si>
    <t>80 кв (10 вид) 0 діл.</t>
  </si>
  <si>
    <t>80 кв (10 вид) 0 діл. 556683 СРВ</t>
  </si>
  <si>
    <t>80 кв (5 вид) 0 діл.</t>
  </si>
  <si>
    <t>80 кв (5 вид) 0 діл. 556683 СРВ</t>
  </si>
  <si>
    <t>131 кв (18 вид) 0 діл.</t>
  </si>
  <si>
    <t>131 кв (18 вид) 0 діл. 556683 СРВ</t>
  </si>
  <si>
    <t>65 кв (8 вид) 0 діл. 556683 СРВ</t>
  </si>
  <si>
    <t>66 кв (4 вид) 0 діл.</t>
  </si>
  <si>
    <t>66 кв (4 вид) 0 діл. 556683 СРВ</t>
  </si>
  <si>
    <t>131 кв (13 вид) 0 діл.</t>
  </si>
  <si>
    <t>131 кв (13 вид) 0 діл. 556683 СРВ</t>
  </si>
  <si>
    <t>131 кв (14 вид) 0 діл.</t>
  </si>
  <si>
    <t>131 кв (14 вид) 0 діл. 556683 СРВ</t>
  </si>
  <si>
    <t>131 кв (23 вид) 0 діл.</t>
  </si>
  <si>
    <t>131 кв (23 вид) 0 діл. 556683 СРВ</t>
  </si>
  <si>
    <t>85 кв (13 вид) 0 діл. 556682 РЛД</t>
  </si>
  <si>
    <t>17 кв (2 вид) 0 діл. 556681 СРВ</t>
  </si>
  <si>
    <t>46 кв (3 вид) 0 діл.</t>
  </si>
  <si>
    <t>46 кв (3 вид) 0 діл. 556681 СРВ</t>
  </si>
  <si>
    <t>79 кв (10 вид) 0 діл.</t>
  </si>
  <si>
    <t>79 кв (10 вид) 0 діл. 556681 СРВ</t>
  </si>
  <si>
    <t>81 кв (4 вид) 0 діл. 556681 СРВ</t>
  </si>
  <si>
    <t>44 кв (8 вид) 0 діл.</t>
  </si>
  <si>
    <t>44 кв (8 вид) 0 діл. 556680 СРВ</t>
  </si>
  <si>
    <t>44 кв (11 вид) 0 діл.</t>
  </si>
  <si>
    <t>44 кв (11 вид) 0 діл. 556680 СРВ</t>
  </si>
  <si>
    <t>32 кв (7 вид) 0 діл. 556680 СРВ</t>
  </si>
  <si>
    <t>88 кв (1 вид) 0 діл.</t>
  </si>
  <si>
    <t>88 кв (1 вид) 0 діл. 556679 СРВ</t>
  </si>
  <si>
    <t>67 кв (1 вид) 0 діл. 556675 ЛД</t>
  </si>
  <si>
    <t>150 кв (1 вид) 2 діл.</t>
  </si>
  <si>
    <t>150 кв (1 вид) 2 діл. 556621 РГК</t>
  </si>
  <si>
    <t>Без спалювання</t>
  </si>
  <si>
    <t>60 кв (4 вид) 0 діл. 556636 ЛД</t>
  </si>
  <si>
    <t>41 кв (5 вид) 0 діл.</t>
  </si>
  <si>
    <t>41 кв (5 вид) 0 діл. 556686 ОСВ</t>
  </si>
  <si>
    <t>7 кв (12 вид) 0 діл.</t>
  </si>
  <si>
    <t>7 кв (12 вид) 0 діл. 556622 РГК</t>
  </si>
  <si>
    <t>133 кв (13 вид) 0 діл.</t>
  </si>
  <si>
    <t>133 кв (13 вид) 0 діл. 556622 РГК</t>
  </si>
  <si>
    <t>41 кв (10 вид) 0 діл.</t>
  </si>
  <si>
    <t>41 кв (10 вид) 0 діл. 556621 РГК</t>
  </si>
  <si>
    <t>3 кв (3 вид) 0 діл. 556685 СРВ</t>
  </si>
  <si>
    <t>3 кв (7 вид) 0 діл.</t>
  </si>
  <si>
    <t>3 кв (7 вид) 0 діл. 556685 СРВ</t>
  </si>
  <si>
    <t>17 кв (2 вид) 0 діл. 556685 СРВ</t>
  </si>
  <si>
    <t>37 кв (3 вид) 0 діл.</t>
  </si>
  <si>
    <t>37 кв (3 вид) 0 діл. 556685 СРВ</t>
  </si>
  <si>
    <t>81 кв (3 вид) 0 діл. 556685 СРВ</t>
  </si>
  <si>
    <t>66 кв (4 вид) 0 діл. 556670 ЛД</t>
  </si>
  <si>
    <t>18 кв (2 вид) 0 діл. 556691 СРВ</t>
  </si>
  <si>
    <t>44 кв (10 вид) 0 діл.</t>
  </si>
  <si>
    <t>44 кв (10 вид) 0 діл. 556688 СРВ</t>
  </si>
  <si>
    <t>46 кв (3 вид) 0 діл. 556688 СРВ</t>
  </si>
  <si>
    <t>55 кв (1 вид) 0 діл.</t>
  </si>
  <si>
    <t>55 кв (1 вид) 0 діл. 556687 СРВ</t>
  </si>
  <si>
    <t>57 кв (12 вид) 0 діл.</t>
  </si>
  <si>
    <t>57 кв (12 вид) 0 діл. 556687 СРВ</t>
  </si>
  <si>
    <t>57 кв (16 вид) 0 діл.</t>
  </si>
  <si>
    <t>57 кв (16 вид) 0 діл. 556687 СРВ</t>
  </si>
  <si>
    <t>65 кв (7 вид) 0 діл. 556687 СРВ</t>
  </si>
  <si>
    <t>85 кв (2 вид) 0 діл. 556687 СРВ</t>
  </si>
  <si>
    <t>42 кв (5 вид) 0 діл.</t>
  </si>
  <si>
    <t>42 кв (5 вид) 0 діл. 556689 СРВ</t>
  </si>
  <si>
    <t>71 кв (3 вид) 1 діл.</t>
  </si>
  <si>
    <t>71 кв (3 вид) 1 діл. 556689 СРВ</t>
  </si>
  <si>
    <t>86 кв (1 вид) 1 діл. 556689 СРВ</t>
  </si>
  <si>
    <t>132 кв (1 вид) 1 діл.</t>
  </si>
  <si>
    <t>132 кв (1 вид) 1 діл. 556689 СРВ</t>
  </si>
  <si>
    <t>40 кв (2 вид) 0 діл. 556621 РГК</t>
  </si>
  <si>
    <t>27 кв (11 вид) 0 діл. 556617 РГК</t>
  </si>
  <si>
    <t>29 кв (7 вид) 4 діл.</t>
  </si>
  <si>
    <t>29 кв (7 вид) 4 діл. 556622 РГК</t>
  </si>
  <si>
    <t>29 кв (13 вид) 0 діл.</t>
  </si>
  <si>
    <t>29 кв (13 вид) 0 діл. 556692 СРВ</t>
  </si>
  <si>
    <t>34 кв (6 вид) 0 діл. 556692 СРВ</t>
  </si>
  <si>
    <t>124 кв (1 вид) 3 діл.</t>
  </si>
  <si>
    <t>124 кв (1 вид) 3 діл. 556692 СРВ</t>
  </si>
  <si>
    <t>38 кв (4 вид) 0 діл. 556690 СРВ</t>
  </si>
  <si>
    <t>125 кв (26 вид) 0 діл.</t>
  </si>
  <si>
    <t>125 кв (26 вид) 0 діл. 556690 СРВ</t>
  </si>
  <si>
    <t>128 кв (7 вид) 0 діл.</t>
  </si>
  <si>
    <t>128 кв (7 вид) 0 діл. 556639 ПРЧ</t>
  </si>
  <si>
    <t>105 кв (6 вид) 0 діл.</t>
  </si>
  <si>
    <t>105 кв (6 вид) 0 діл. 556639 ПРЧ</t>
  </si>
  <si>
    <t>108 кв (2 вид) 1 діл.</t>
  </si>
  <si>
    <t>108 кв (2 вид) 1 діл. 556639 ПРЧ</t>
  </si>
  <si>
    <t>70 кв (1 вид) 0 діл. 556694 СРВ</t>
  </si>
  <si>
    <t>93 кв (3 вид) 0 діл. 556694 СРВ</t>
  </si>
  <si>
    <t>41 кв (2 вид) 0 діл.</t>
  </si>
  <si>
    <t>41 кв (2 вид) 0 діл. 556694 СРВ</t>
  </si>
  <si>
    <t>86 кв (1 вид) 0 діл. 556694 СРВ</t>
  </si>
  <si>
    <t>83 кв (1 вид) 0 діл. 556694 СРВ</t>
  </si>
  <si>
    <t>41 кв (5 вид) 1 діл.</t>
  </si>
  <si>
    <t>41 кв (5 вид) 1 діл. 556618 РГК</t>
  </si>
  <si>
    <t>23 кв (11 вид) 0 діл.</t>
  </si>
  <si>
    <t>23 кв (11 вид) 0 діл. 556693 СРВ</t>
  </si>
  <si>
    <t>97 кв (14 вид) 0 діл.</t>
  </si>
  <si>
    <t>97 кв (14 вид) 0 діл. 556693 СРВ</t>
  </si>
  <si>
    <t>93 кв (2 вид) 0 діл. 556693 СРВ</t>
  </si>
  <si>
    <t>93 кв (9 вид) 0 діл.</t>
  </si>
  <si>
    <t>93 кв (9 вид) 0 діл. 556693 СРВ</t>
  </si>
  <si>
    <t>97 кв (10 вид) 1 діл.</t>
  </si>
  <si>
    <t>97 кв (10 вид) 1 діл. 556693 СРВ</t>
  </si>
  <si>
    <t>97 кв (11 вид) 0 діл.</t>
  </si>
  <si>
    <t>97 кв (11 вид) 0 діл. 556693 СРВ</t>
  </si>
  <si>
    <t>54 кв (5 вид) 0 діл.</t>
  </si>
  <si>
    <t>54 кв (5 вид) 0 діл. 556693 СРВ</t>
  </si>
  <si>
    <t>30 кв (7 вид) 0 діл.</t>
  </si>
  <si>
    <t>30 кв (7 вид) 0 діл. 556696 СРВ</t>
  </si>
  <si>
    <t>78 кв (2 вид) 0 діл. 556696 СРВ</t>
  </si>
  <si>
    <t>67 кв (4 вид) 2 діл.</t>
  </si>
  <si>
    <t>67 кв (4 вид) 2 діл. 556696 СРВ</t>
  </si>
  <si>
    <t>113 кв (4 вид) 1 діл.</t>
  </si>
  <si>
    <t>113 кв (4 вид) 1 діл. 556618 РГК</t>
  </si>
  <si>
    <t>21 кв (2 вид) 2 діл. 556697 СРВ</t>
  </si>
  <si>
    <t>36 кв (1 вид) 1 діл.</t>
  </si>
  <si>
    <t>36 кв (1 вид) 1 діл. 556697 СРВ</t>
  </si>
  <si>
    <t>71 кв (3 вид) 2 діл.</t>
  </si>
  <si>
    <t>71 кв (3 вид) 2 діл. 556697 СРВ</t>
  </si>
  <si>
    <t>110 кв (1 вид) 1 діл.</t>
  </si>
  <si>
    <t>110 кв (1 вид) 1 діл. 556697 СРВ</t>
  </si>
  <si>
    <t>132 кв (1 вид) 2 діл.</t>
  </si>
  <si>
    <t>132 кв (1 вид) 2 діл. 556697 СРВ</t>
  </si>
  <si>
    <t>1 кв (1 вид) 0 діл.</t>
  </si>
  <si>
    <t>1 кв (1 вид) 0 діл. 556698 СРВ</t>
  </si>
  <si>
    <t>47 кв (20 вид) 0 діл.</t>
  </si>
  <si>
    <t>47 кв (20 вид) 0 діл. 556698 СРВ</t>
  </si>
  <si>
    <t>81 кв (2 вид) 1 діл.</t>
  </si>
  <si>
    <t>81 кв (2 вид) 1 діл. 556698 СРВ</t>
  </si>
  <si>
    <t>17 кв (4 вид) 0 діл.</t>
  </si>
  <si>
    <t>17 кв (4 вид) 0 діл. 98 СРВ</t>
  </si>
  <si>
    <t>71 кв (1 вид) 0 діл. 98 СРВ</t>
  </si>
  <si>
    <t>39 кв (1 вид) 0 діл.</t>
  </si>
  <si>
    <t>39 кв (1 вид) 0 діл. 98 СРВ</t>
  </si>
  <si>
    <t>47 кв (3 вид) 0 діл. 556695 СРВ</t>
  </si>
  <si>
    <t>77 кв (5 вид) 0 діл.</t>
  </si>
  <si>
    <t>77 кв (5 вид) 0 діл. 556695 СРВ</t>
  </si>
  <si>
    <t>40 кв (4 вид) 0 діл.</t>
  </si>
  <si>
    <t>40 кв (4 вид) 0 діл. 100 СРВ</t>
  </si>
  <si>
    <t>70 кв (5 вид) 0 діл. 100 СРВ</t>
  </si>
  <si>
    <t>24 кв (8 вид) 0 діл.</t>
  </si>
  <si>
    <t>24 кв (8 вид) 0 діл. 100 СРВ</t>
  </si>
  <si>
    <t>40 кв (1 вид) 0 діл. 100 СРВ</t>
  </si>
  <si>
    <t>45 кв (3 вид) 1 діл.</t>
  </si>
  <si>
    <t>45 кв (3 вид) 1 діл. 97 РКП</t>
  </si>
  <si>
    <t>35 кв (4 вид) 1 діл.</t>
  </si>
  <si>
    <t>35 кв (4 вид) 1 діл. 97 РКП</t>
  </si>
  <si>
    <t>36 кв (1 вид) 1 діл. 97 РКП</t>
  </si>
  <si>
    <t>28 кв (1 вид) 0 діл.</t>
  </si>
  <si>
    <t>28 кв (1 вид) 0 діл. 101 ЛД</t>
  </si>
  <si>
    <t>26 кв (3 вид) 0 діл. 556668 ПРЧ</t>
  </si>
  <si>
    <t>77 кв (2 вид) 0 діл.</t>
  </si>
  <si>
    <t>77 кв (2 вид) 0 діл. 103 ОСВ</t>
  </si>
  <si>
    <t>110 кв (1 вид) 2 діл.</t>
  </si>
  <si>
    <t>110 кв (1 вид) 2 діл. 99 СРВ</t>
  </si>
  <si>
    <t>124 кв (1 вид) 0 діл. 99 СРВ</t>
  </si>
  <si>
    <t>5\Коз\5_12_ДПО-18</t>
  </si>
  <si>
    <t>23 кв (13 вид) 0 діл.</t>
  </si>
  <si>
    <t>23 кв (13 вид) 0 діл. 556617 РГК</t>
  </si>
  <si>
    <t>16 кв (5 вид) 0 діл. 556617 РГК</t>
  </si>
  <si>
    <t>90 кв (5 вид) 0 діл. 556639 ПРЧ</t>
  </si>
  <si>
    <t>38 кв (3 вид) 0 діл. 104 ОСВ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</si>
  <si>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</si>
  <si>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t>НелГраб</t>
  </si>
  <si>
    <t>НелМяк</t>
  </si>
  <si>
    <t>НелТВ</t>
  </si>
  <si>
    <t>Підріст</t>
  </si>
  <si>
    <t>Спалювання</t>
  </si>
  <si>
    <t>jsonKoshtoris</t>
  </si>
  <si>
    <t>JSONРасчет</t>
  </si>
  <si>
    <t>F:\Переустановка\Техкарта\2019\Техкарты\9\Коз\16 кв (5 вид) 0 діл\16 кв (5 вид) 0 діл-Комплект-556617-РГК-РГК.doc</t>
  </si>
  <si>
    <t>№п/п</t>
  </si>
  <si>
    <t>Сума,грн.</t>
  </si>
  <si>
    <t>g</t>
  </si>
  <si>
    <t xml:space="preserve">Коригуючий Коэффициент затрат по видам рубок находится в именованой формуле </t>
  </si>
  <si>
    <t>ККЗ</t>
  </si>
  <si>
    <t>mККЗ</t>
  </si>
  <si>
    <t>dККЗ</t>
  </si>
  <si>
    <t>АДРЕС(СТРОКА(ДВССЫЛ(A1));СТОЛБЕЦ(ДВССЫЛ(A1)))</t>
  </si>
  <si>
    <t>Вартість одиниці перевірка</t>
  </si>
  <si>
    <t>Сума перевірка</t>
  </si>
  <si>
    <t>m</t>
  </si>
  <si>
    <t>d</t>
  </si>
  <si>
    <t>gKV</t>
  </si>
  <si>
    <t>Приб</t>
  </si>
  <si>
    <t>Вируб</t>
  </si>
  <si>
    <t>Спил</t>
  </si>
  <si>
    <t>Спал</t>
  </si>
  <si>
    <t>Звал</t>
  </si>
  <si>
    <t>Зріз</t>
  </si>
  <si>
    <t>Збир</t>
  </si>
  <si>
    <t>Розкр</t>
  </si>
  <si>
    <t>Зачищ</t>
  </si>
  <si>
    <t>Уклад</t>
  </si>
  <si>
    <t>РГК!$B$3</t>
  </si>
  <si>
    <t>jsonTexzavdannya</t>
  </si>
  <si>
    <t>Од. Вим.</t>
  </si>
  <si>
    <t>Кіл-сть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</si>
</sst>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1" formatCode="_-* #,##0_р_._-;\-* #,##0_р_._-;_-* &quot;-&quot;_р_._-;_-@_-"/>
    <numFmt numFmtId="43" formatCode="_-* #,##0.00_р_._-;\-* #,##0.00_р_._-;_-* &quot;-&quot;??_р_._-;_-@_-"/>
    <numFmt numFmtId="164" formatCode="#,##0\ &quot;грн.&quot;;\-#,##0\ &quot;грн.&quot;"/>
    <numFmt numFmtId="165" formatCode="#,##0.00\ &quot;грн.&quot;;\-#,##0.00\ &quot;грн.&quot;"/>
    <numFmt numFmtId="166" formatCode="#,##0.0"/>
    <numFmt numFmtId="167" formatCode="0.000"/>
    <numFmt numFmtId="168" formatCode="#,##0.000"/>
    <numFmt numFmtId="169" formatCode="[$€-2]\ #,##0.00;[Red]\-[$€-2]\ #,##0.00"/>
    <numFmt numFmtId="170" formatCode="mmmm\ d\,\ yyyy"/>
    <numFmt numFmtId="171" formatCode="0.0"/>
    <numFmt numFmtId="172" formatCode="#,##0.00_ ;[Red]\-#,##0.00\ "/>
    <numFmt numFmtId="173" formatCode="0.0000000000000000"/>
    <numFmt numFmtId="174" formatCode="0.00000"/>
    <numFmt numFmtId="175" formatCode="0.00000000000000000"/>
    <numFmt numFmtId="176" formatCode="#,##0.00&quot;₴&quot;"/>
    <numFmt numFmtId="177" formatCode="0.0000"/>
    <numFmt numFmtId="178" formatCode="0.000000000"/>
    <numFmt numFmtId="179" formatCode="0.000000000000000"/>
  </numFmts>
  <fonts count="91">
    <font>
      <sz val="11"/>
      <color theme="1"/>
      <name val="Calibri"/>
      <family val="2"/>
      <charset val="204"/>
      <scheme val="minor"/>
    </font>
    <font>
      <b/>
      <sz val="18"/>
      <name val="Arial"/>
      <family val="2"/>
    </font>
    <font>
      <sz val="10"/>
      <name val="Arial"/>
      <family val="2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Arial"/>
      <family val="2"/>
      <charset val="204"/>
    </font>
    <font>
      <b/>
      <sz val="10"/>
      <name val="0"/>
      <charset val="204"/>
    </font>
    <font>
      <sz val="10"/>
      <name val="Arial Cyr"/>
      <charset val="204"/>
    </font>
    <font>
      <b/>
      <sz val="10"/>
      <name val="Arial Cyr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sz val="11"/>
      <name val="Times New Roman"/>
      <family val="1"/>
      <charset val="204"/>
    </font>
    <font>
      <sz val="10"/>
      <name val="Arial"/>
      <family val="2"/>
      <charset val="204"/>
    </font>
    <font>
      <b/>
      <sz val="9"/>
      <color indexed="8"/>
      <name val="Arial"/>
      <family val="2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name val="Times New Roman"/>
      <family val="1"/>
      <charset val="204"/>
    </font>
    <font>
      <b/>
      <sz val="18"/>
      <name val="Arial"/>
      <family val="2"/>
      <charset val="204"/>
    </font>
    <font>
      <b/>
      <sz val="10"/>
      <color indexed="14"/>
      <name val="Arial"/>
      <family val="2"/>
    </font>
    <font>
      <b/>
      <sz val="10"/>
      <color indexed="8"/>
      <name val="Arial"/>
      <family val="2"/>
      <charset val="204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  <charset val="204"/>
    </font>
    <font>
      <sz val="10"/>
      <color indexed="54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  <charset val="204"/>
    </font>
    <font>
      <sz val="8"/>
      <color indexed="8"/>
      <name val="Tahoma"/>
      <family val="2"/>
      <charset val="204"/>
    </font>
    <font>
      <sz val="8"/>
      <color indexed="8"/>
      <name val="Tahoma"/>
      <family val="2"/>
    </font>
    <font>
      <b/>
      <sz val="8"/>
      <color indexed="8"/>
      <name val="Tahoma"/>
      <family val="2"/>
      <charset val="204"/>
    </font>
    <font>
      <sz val="10"/>
      <color indexed="10"/>
      <name val="Arial Cyr"/>
      <charset val="204"/>
    </font>
    <font>
      <u/>
      <sz val="10"/>
      <color indexed="12"/>
      <name val="Arial"/>
      <family val="2"/>
    </font>
    <font>
      <b/>
      <sz val="8"/>
      <name val="Arial Cyr"/>
      <charset val="204"/>
    </font>
    <font>
      <sz val="10"/>
      <name val="Arial Cyr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i/>
      <sz val="14"/>
      <color rgb="FF434345"/>
      <name val="Times New Roman"/>
      <family val="1"/>
      <charset val="204"/>
    </font>
    <font>
      <sz val="11"/>
      <color theme="4" tint="-0.249977111117893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9"/>
      <color theme="1"/>
      <name val="Arial"/>
      <family val="2"/>
      <charset val="204"/>
    </font>
    <font>
      <sz val="9"/>
      <color theme="1"/>
      <name val="Times New Roman"/>
      <family val="1"/>
      <charset val="204"/>
    </font>
    <font>
      <b/>
      <i/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i/>
      <sz val="14"/>
      <color rgb="FF434345"/>
      <name val="Times New Roman"/>
      <family val="1"/>
      <charset val="204"/>
    </font>
    <font>
      <sz val="11"/>
      <color theme="1" tint="4.9989318521683403E-2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9"/>
      <color theme="1"/>
      <name val="Times New Roman"/>
      <family val="1"/>
      <charset val="204"/>
    </font>
    <font>
      <b/>
      <sz val="9"/>
      <color theme="1"/>
      <name val="Calibri"/>
      <family val="2"/>
      <charset val="204"/>
      <scheme val="minor"/>
    </font>
    <font>
      <b/>
      <sz val="9"/>
      <name val="Arial Cyr"/>
      <charset val="204"/>
    </font>
    <font>
      <sz val="1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0"/>
      <name val="Arial Cyr"/>
    </font>
    <font>
      <sz val="11"/>
      <color theme="1"/>
      <name val="Calibri"/>
      <family val="2"/>
      <scheme val="minor"/>
    </font>
    <font>
      <b/>
      <sz val="8"/>
      <name val="Arial"/>
      <family val="2"/>
      <charset val="204"/>
    </font>
    <font>
      <sz val="12"/>
      <color rgb="FF000000"/>
      <name val="Verdana"/>
      <family val="2"/>
      <charset val="204"/>
    </font>
    <font>
      <sz val="10"/>
      <name val="Arial Cyr"/>
    </font>
    <font>
      <sz val="11"/>
      <color theme="1"/>
      <name val="Calibri"/>
      <family val="2"/>
      <charset val="204"/>
      <scheme val="minor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i/>
      <sz val="11"/>
      <name val="Calibri"/>
      <family val="2"/>
      <charset val="204"/>
      <scheme val="minor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8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i/>
      <sz val="8"/>
      <color theme="1"/>
      <name val="Times New Roman"/>
      <family val="1"/>
      <charset val="204"/>
    </font>
    <font>
      <b/>
      <i/>
      <sz val="8"/>
      <color theme="1"/>
      <name val="Calibri"/>
      <family val="2"/>
      <charset val="204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rgb="FFF3F3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8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24"/>
      </top>
      <bottom style="thin">
        <color indexed="2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24"/>
      </left>
      <right/>
      <top style="thin">
        <color indexed="24"/>
      </top>
      <bottom/>
      <diagonal/>
    </border>
    <border>
      <left style="thin">
        <color indexed="24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indexed="2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indexed="2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</borders>
  <cellStyleXfs count="41">
    <xf numFmtId="169" fontId="0" fillId="0" borderId="0"/>
    <xf numFmtId="166" fontId="13" fillId="0" borderId="0" applyFill="0" applyBorder="0" applyAlignment="0" applyProtection="0"/>
    <xf numFmtId="3" fontId="13" fillId="0" borderId="0" applyFill="0" applyBorder="0" applyAlignment="0" applyProtection="0"/>
    <xf numFmtId="165" fontId="13" fillId="0" borderId="0" applyFill="0" applyBorder="0" applyAlignment="0" applyProtection="0"/>
    <xf numFmtId="164" fontId="13" fillId="0" borderId="0" applyFill="0" applyBorder="0" applyAlignment="0" applyProtection="0"/>
    <xf numFmtId="170" fontId="13" fillId="0" borderId="0" applyFill="0" applyBorder="0" applyAlignment="0" applyProtection="0"/>
    <xf numFmtId="2" fontId="13" fillId="0" borderId="0" applyFill="0" applyBorder="0" applyAlignment="0" applyProtection="0"/>
    <xf numFmtId="169" fontId="23" fillId="0" borderId="0" applyNumberFormat="0" applyFill="0" applyBorder="0" applyAlignment="0" applyProtection="0"/>
    <xf numFmtId="169" fontId="39" fillId="0" borderId="0" applyNumberFormat="0" applyFill="0" applyBorder="0" applyAlignment="0" applyProtection="0"/>
    <xf numFmtId="169" fontId="13" fillId="0" borderId="0" applyNumberFormat="0" applyFill="0" applyBorder="0" applyAlignment="0" applyProtection="0"/>
    <xf numFmtId="10" fontId="13" fillId="0" borderId="0" applyFill="0" applyBorder="0" applyAlignment="0" applyProtection="0"/>
    <xf numFmtId="169" fontId="13" fillId="0" borderId="1" applyNumberFormat="0" applyFill="0" applyAlignment="0" applyProtection="0"/>
    <xf numFmtId="169" fontId="41" fillId="0" borderId="0" applyNumberFormat="0" applyFill="0" applyBorder="0" applyAlignment="0" applyProtection="0"/>
    <xf numFmtId="169" fontId="36" fillId="0" borderId="0" applyNumberFormat="0" applyFill="0" applyBorder="0" applyAlignment="0" applyProtection="0">
      <alignment vertical="top"/>
      <protection locked="0"/>
    </xf>
    <xf numFmtId="169" fontId="40" fillId="0" borderId="0" applyNumberFormat="0" applyFill="0" applyBorder="0" applyAlignment="0" applyProtection="0"/>
    <xf numFmtId="169" fontId="23" fillId="0" borderId="0" applyNumberFormat="0" applyFill="0" applyBorder="0" applyAlignment="0" applyProtection="0"/>
    <xf numFmtId="169" fontId="39" fillId="0" borderId="0" applyNumberFormat="0" applyFill="0" applyBorder="0" applyAlignment="0" applyProtection="0"/>
    <xf numFmtId="169" fontId="40" fillId="0" borderId="2" applyNumberFormat="0" applyFill="0" applyAlignment="0" applyProtection="0"/>
    <xf numFmtId="169" fontId="7" fillId="0" borderId="0"/>
    <xf numFmtId="169" fontId="13" fillId="0" borderId="0"/>
    <xf numFmtId="169" fontId="2" fillId="0" borderId="0">
      <alignment vertical="center"/>
    </xf>
    <xf numFmtId="169" fontId="13" fillId="0" borderId="0"/>
    <xf numFmtId="169" fontId="7" fillId="0" borderId="0"/>
    <xf numFmtId="169" fontId="3" fillId="0" borderId="0">
      <alignment vertical="center"/>
    </xf>
    <xf numFmtId="169" fontId="7" fillId="0" borderId="0"/>
    <xf numFmtId="2" fontId="40" fillId="0" borderId="0" applyFill="0" applyBorder="0" applyAlignment="0" applyProtection="0"/>
    <xf numFmtId="169" fontId="38" fillId="0" borderId="0"/>
    <xf numFmtId="169" fontId="13" fillId="0" borderId="0"/>
    <xf numFmtId="41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9" fontId="7" fillId="0" borderId="0"/>
    <xf numFmtId="169" fontId="36" fillId="0" borderId="0" applyNumberFormat="0" applyFill="0" applyBorder="0" applyAlignment="0" applyProtection="0">
      <alignment vertical="top"/>
      <protection locked="0"/>
    </xf>
    <xf numFmtId="169" fontId="7" fillId="0" borderId="0"/>
    <xf numFmtId="169" fontId="13" fillId="0" borderId="0"/>
    <xf numFmtId="169" fontId="72" fillId="0" borderId="0"/>
    <xf numFmtId="169" fontId="74" fillId="0" borderId="0"/>
    <xf numFmtId="169" fontId="7" fillId="0" borderId="0"/>
    <xf numFmtId="169" fontId="7" fillId="0" borderId="0"/>
    <xf numFmtId="0" fontId="74" fillId="0" borderId="0"/>
    <xf numFmtId="0" fontId="78" fillId="0" borderId="0"/>
    <xf numFmtId="0" fontId="78" fillId="0" borderId="0"/>
  </cellStyleXfs>
  <cellXfs count="789">
    <xf numFmtId="169" fontId="0" fillId="0" borderId="0" xfId="0"/>
    <xf numFmtId="169" fontId="42" fillId="0" borderId="0" xfId="0" applyFont="1"/>
    <xf numFmtId="169" fontId="0" fillId="0" borderId="0" xfId="0" applyNumberFormat="1"/>
    <xf numFmtId="169" fontId="0" fillId="0" borderId="0" xfId="0" applyAlignment="1">
      <alignment horizontal="left"/>
    </xf>
    <xf numFmtId="169" fontId="2" fillId="2" borderId="3" xfId="0" applyNumberFormat="1" applyFont="1" applyFill="1" applyBorder="1" applyAlignment="1">
      <alignment horizontal="left" vertical="top" wrapText="1"/>
    </xf>
    <xf numFmtId="1" fontId="0" fillId="0" borderId="3" xfId="0" applyNumberFormat="1" applyFont="1" applyBorder="1" applyAlignment="1">
      <alignment horizontal="left" vertical="top" wrapText="1"/>
    </xf>
    <xf numFmtId="169" fontId="0" fillId="0" borderId="3" xfId="0" applyNumberFormat="1" applyFont="1" applyBorder="1" applyAlignment="1">
      <alignment horizontal="left" vertical="top" wrapText="1"/>
    </xf>
    <xf numFmtId="169" fontId="0" fillId="0" borderId="22" xfId="0" applyNumberFormat="1" applyFont="1" applyBorder="1" applyAlignment="1">
      <alignment horizontal="left" vertical="top" wrapText="1" indent="6"/>
    </xf>
    <xf numFmtId="169" fontId="0" fillId="0" borderId="23" xfId="0" applyNumberFormat="1" applyFont="1" applyBorder="1" applyAlignment="1">
      <alignment horizontal="left" vertical="top" wrapText="1" indent="6"/>
    </xf>
    <xf numFmtId="169" fontId="0" fillId="0" borderId="3" xfId="0" applyNumberFormat="1" applyFont="1" applyBorder="1" applyAlignment="1">
      <alignment horizontal="right" vertical="top" wrapText="1"/>
    </xf>
    <xf numFmtId="167" fontId="0" fillId="0" borderId="3" xfId="0" applyNumberFormat="1" applyFont="1" applyBorder="1" applyAlignment="1">
      <alignment horizontal="right" vertical="top" wrapText="1"/>
    </xf>
    <xf numFmtId="168" fontId="0" fillId="0" borderId="3" xfId="0" applyNumberFormat="1" applyFont="1" applyBorder="1" applyAlignment="1">
      <alignment horizontal="right" vertical="top" wrapText="1"/>
    </xf>
    <xf numFmtId="169" fontId="0" fillId="3" borderId="3" xfId="0" applyNumberFormat="1" applyFont="1" applyFill="1" applyBorder="1" applyAlignment="1">
      <alignment horizontal="left" vertical="top"/>
    </xf>
    <xf numFmtId="167" fontId="0" fillId="3" borderId="3" xfId="0" applyNumberFormat="1" applyFont="1" applyFill="1" applyBorder="1" applyAlignment="1">
      <alignment horizontal="right" vertical="top"/>
    </xf>
    <xf numFmtId="169" fontId="6" fillId="0" borderId="0" xfId="23" applyFont="1" applyAlignment="1">
      <alignment horizontal="center" vertical="center"/>
    </xf>
    <xf numFmtId="169" fontId="3" fillId="0" borderId="0" xfId="23" applyFont="1">
      <alignment vertical="center"/>
    </xf>
    <xf numFmtId="169" fontId="3" fillId="0" borderId="0" xfId="23">
      <alignment vertical="center"/>
    </xf>
    <xf numFmtId="169" fontId="3" fillId="0" borderId="12" xfId="23" applyBorder="1">
      <alignment vertical="center"/>
    </xf>
    <xf numFmtId="169" fontId="3" fillId="0" borderId="12" xfId="23" applyFont="1" applyBorder="1">
      <alignment vertical="center"/>
    </xf>
    <xf numFmtId="169" fontId="3" fillId="0" borderId="24" xfId="23" applyFont="1" applyBorder="1">
      <alignment vertical="center"/>
    </xf>
    <xf numFmtId="169" fontId="3" fillId="0" borderId="25" xfId="23" applyFont="1" applyBorder="1">
      <alignment vertical="center"/>
    </xf>
    <xf numFmtId="169" fontId="7" fillId="0" borderId="10" xfId="18" applyNumberFormat="1" applyFill="1" applyBorder="1" applyAlignment="1">
      <alignment wrapText="1"/>
    </xf>
    <xf numFmtId="169" fontId="3" fillId="0" borderId="10" xfId="23" applyBorder="1">
      <alignment vertical="center"/>
    </xf>
    <xf numFmtId="169" fontId="3" fillId="0" borderId="10" xfId="23" applyFont="1" applyBorder="1">
      <alignment vertical="center"/>
    </xf>
    <xf numFmtId="169" fontId="3" fillId="0" borderId="26" xfId="23" applyFont="1" applyBorder="1">
      <alignment vertical="center"/>
    </xf>
    <xf numFmtId="169" fontId="7" fillId="0" borderId="0" xfId="18"/>
    <xf numFmtId="169" fontId="3" fillId="0" borderId="27" xfId="23" applyFont="1" applyBorder="1">
      <alignment vertical="center"/>
    </xf>
    <xf numFmtId="169" fontId="7" fillId="0" borderId="10" xfId="18" applyNumberFormat="1" applyFont="1" applyFill="1" applyBorder="1" applyAlignment="1">
      <alignment wrapText="1"/>
    </xf>
    <xf numFmtId="169" fontId="7" fillId="0" borderId="28" xfId="18" applyNumberFormat="1" applyFont="1" applyFill="1" applyBorder="1" applyAlignment="1">
      <alignment wrapText="1"/>
    </xf>
    <xf numFmtId="169" fontId="3" fillId="0" borderId="28" xfId="23" applyBorder="1">
      <alignment vertical="center"/>
    </xf>
    <xf numFmtId="169" fontId="7" fillId="0" borderId="28" xfId="18" applyNumberFormat="1" applyFill="1" applyBorder="1" applyAlignment="1">
      <alignment wrapText="1"/>
    </xf>
    <xf numFmtId="169" fontId="3" fillId="0" borderId="28" xfId="23" applyFont="1" applyBorder="1">
      <alignment vertical="center"/>
    </xf>
    <xf numFmtId="169" fontId="3" fillId="0" borderId="29" xfId="23" applyFont="1" applyBorder="1">
      <alignment vertical="center"/>
    </xf>
    <xf numFmtId="169" fontId="3" fillId="0" borderId="30" xfId="23" applyFont="1" applyBorder="1">
      <alignment vertical="center"/>
    </xf>
    <xf numFmtId="169" fontId="3" fillId="0" borderId="0" xfId="23" applyFill="1">
      <alignment vertical="center"/>
    </xf>
    <xf numFmtId="169" fontId="7" fillId="0" borderId="0" xfId="18" applyNumberFormat="1" applyFill="1" applyAlignment="1">
      <alignment wrapText="1"/>
    </xf>
    <xf numFmtId="169" fontId="3" fillId="0" borderId="0" xfId="23" applyFont="1" applyFill="1">
      <alignment vertical="center"/>
    </xf>
    <xf numFmtId="169" fontId="3" fillId="0" borderId="0" xfId="23" applyNumberFormat="1" applyFont="1" applyFill="1" applyAlignment="1">
      <alignment wrapText="1"/>
    </xf>
    <xf numFmtId="169" fontId="3" fillId="0" borderId="0" xfId="23" applyFill="1" applyAlignment="1">
      <alignment horizontal="left" vertical="center"/>
    </xf>
    <xf numFmtId="49" fontId="6" fillId="0" borderId="0" xfId="23" applyNumberFormat="1" applyFont="1" applyFill="1" applyAlignment="1">
      <alignment horizontal="left" vertical="center"/>
    </xf>
    <xf numFmtId="49" fontId="6" fillId="0" borderId="0" xfId="23" applyNumberFormat="1" applyFont="1">
      <alignment vertical="center"/>
    </xf>
    <xf numFmtId="169" fontId="14" fillId="0" borderId="10" xfId="20" applyNumberFormat="1" applyFont="1" applyFill="1" applyBorder="1" applyAlignment="1">
      <alignment horizontal="center" vertical="top"/>
    </xf>
    <xf numFmtId="169" fontId="7" fillId="0" borderId="0" xfId="18" applyAlignment="1">
      <alignment wrapText="1"/>
    </xf>
    <xf numFmtId="169" fontId="12" fillId="0" borderId="0" xfId="18" applyFont="1"/>
    <xf numFmtId="169" fontId="7" fillId="0" borderId="0" xfId="18" applyNumberFormat="1"/>
    <xf numFmtId="169" fontId="15" fillId="0" borderId="0" xfId="18" applyFont="1"/>
    <xf numFmtId="169" fontId="16" fillId="0" borderId="0" xfId="18" applyFont="1"/>
    <xf numFmtId="169" fontId="7" fillId="0" borderId="0" xfId="18" applyNumberFormat="1"/>
    <xf numFmtId="169" fontId="22" fillId="0" borderId="0" xfId="18" applyFont="1"/>
    <xf numFmtId="169" fontId="17" fillId="0" borderId="0" xfId="18" applyFont="1"/>
    <xf numFmtId="169" fontId="11" fillId="0" borderId="31" xfId="23" applyFont="1" applyBorder="1">
      <alignment vertical="center"/>
    </xf>
    <xf numFmtId="169" fontId="5" fillId="0" borderId="20" xfId="23" applyNumberFormat="1" applyFont="1" applyFill="1" applyBorder="1" applyAlignment="1">
      <alignment horizontal="center" vertical="center" wrapText="1"/>
    </xf>
    <xf numFmtId="169" fontId="6" fillId="0" borderId="20" xfId="23" applyFont="1" applyBorder="1" applyAlignment="1">
      <alignment horizontal="center" vertical="center"/>
    </xf>
    <xf numFmtId="169" fontId="8" fillId="0" borderId="20" xfId="18" applyFont="1" applyBorder="1" applyAlignment="1">
      <alignment horizontal="center" vertical="center"/>
    </xf>
    <xf numFmtId="169" fontId="6" fillId="0" borderId="21" xfId="23" applyFont="1" applyBorder="1" applyAlignment="1">
      <alignment horizontal="center" vertical="center"/>
    </xf>
    <xf numFmtId="169" fontId="3" fillId="0" borderId="0" xfId="23" applyFont="1" applyAlignment="1">
      <alignment horizontal="center" vertical="center"/>
    </xf>
    <xf numFmtId="169" fontId="4" fillId="0" borderId="32" xfId="23" applyFont="1" applyBorder="1" applyAlignment="1">
      <alignment horizontal="center" vertical="center"/>
    </xf>
    <xf numFmtId="169" fontId="3" fillId="0" borderId="0" xfId="23" applyAlignment="1">
      <alignment horizontal="center" vertical="center"/>
    </xf>
    <xf numFmtId="169" fontId="13" fillId="0" borderId="12" xfId="18" applyNumberFormat="1" applyFont="1" applyFill="1" applyBorder="1" applyAlignment="1">
      <alignment wrapText="1"/>
    </xf>
    <xf numFmtId="169" fontId="7" fillId="0" borderId="0" xfId="18" applyNumberFormat="1" applyFill="1" applyBorder="1" applyAlignment="1">
      <alignment wrapText="1"/>
    </xf>
    <xf numFmtId="169" fontId="7" fillId="0" borderId="10" xfId="18" applyBorder="1"/>
    <xf numFmtId="169" fontId="0" fillId="3" borderId="3" xfId="0" applyNumberFormat="1" applyFont="1" applyFill="1" applyBorder="1" applyAlignment="1">
      <alignment horizontal="left" vertical="top" wrapText="1"/>
    </xf>
    <xf numFmtId="1" fontId="0" fillId="3" borderId="3" xfId="0" applyNumberFormat="1" applyFont="1" applyFill="1" applyBorder="1" applyAlignment="1">
      <alignment horizontal="left" vertical="top" wrapText="1"/>
    </xf>
    <xf numFmtId="169" fontId="0" fillId="3" borderId="10" xfId="0" applyNumberFormat="1" applyFont="1" applyFill="1" applyBorder="1" applyAlignment="1">
      <alignment horizontal="left" vertical="top" wrapText="1"/>
    </xf>
    <xf numFmtId="169" fontId="0" fillId="3" borderId="26" xfId="0" applyNumberFormat="1" applyFont="1" applyFill="1" applyBorder="1" applyAlignment="1">
      <alignment horizontal="left" vertical="top" wrapText="1"/>
    </xf>
    <xf numFmtId="169" fontId="6" fillId="0" borderId="8" xfId="23" applyFont="1" applyBorder="1" applyAlignment="1">
      <alignment horizontal="center" vertical="center"/>
    </xf>
    <xf numFmtId="169" fontId="6" fillId="0" borderId="9" xfId="23" applyFont="1" applyBorder="1" applyAlignment="1">
      <alignment horizontal="center" vertical="center"/>
    </xf>
    <xf numFmtId="169" fontId="6" fillId="0" borderId="33" xfId="23" applyFont="1" applyBorder="1" applyAlignment="1">
      <alignment horizontal="center" vertical="center" wrapText="1"/>
    </xf>
    <xf numFmtId="169" fontId="7" fillId="0" borderId="0" xfId="18" applyFill="1"/>
    <xf numFmtId="169" fontId="7" fillId="0" borderId="0" xfId="18" applyFill="1" applyAlignment="1">
      <alignment wrapText="1"/>
    </xf>
    <xf numFmtId="169" fontId="19" fillId="0" borderId="0" xfId="18" applyFont="1" applyFill="1" applyAlignment="1">
      <alignment wrapText="1"/>
    </xf>
    <xf numFmtId="169" fontId="16" fillId="0" borderId="0" xfId="18" applyFont="1" applyFill="1"/>
    <xf numFmtId="169" fontId="7" fillId="0" borderId="0" xfId="18" applyNumberFormat="1" applyFill="1"/>
    <xf numFmtId="169" fontId="0" fillId="0" borderId="0" xfId="0" applyFill="1"/>
    <xf numFmtId="169" fontId="42" fillId="0" borderId="0" xfId="0" applyFont="1" applyFill="1"/>
    <xf numFmtId="169" fontId="0" fillId="3" borderId="3" xfId="0" applyNumberFormat="1" applyFont="1" applyFill="1" applyBorder="1" applyAlignment="1">
      <alignment horizontal="left" vertical="top" wrapText="1"/>
    </xf>
    <xf numFmtId="169" fontId="13" fillId="0" borderId="0" xfId="0" applyNumberFormat="1" applyFont="1" applyAlignment="1">
      <alignment horizontal="left" vertical="top"/>
    </xf>
    <xf numFmtId="169" fontId="13" fillId="2" borderId="3" xfId="0" applyNumberFormat="1" applyFont="1" applyFill="1" applyBorder="1" applyAlignment="1">
      <alignment horizontal="left" vertical="top" wrapText="1"/>
    </xf>
    <xf numFmtId="169" fontId="13" fillId="2" borderId="3" xfId="0" applyNumberFormat="1" applyFont="1" applyFill="1" applyBorder="1" applyAlignment="1">
      <alignment horizontal="left" vertical="top"/>
    </xf>
    <xf numFmtId="167" fontId="13" fillId="2" borderId="3" xfId="0" applyNumberFormat="1" applyFont="1" applyFill="1" applyBorder="1" applyAlignment="1">
      <alignment horizontal="right" vertical="top"/>
    </xf>
    <xf numFmtId="168" fontId="13" fillId="2" borderId="3" xfId="0" applyNumberFormat="1" applyFont="1" applyFill="1" applyBorder="1" applyAlignment="1">
      <alignment horizontal="right" vertical="top"/>
    </xf>
    <xf numFmtId="169" fontId="44" fillId="0" borderId="0" xfId="0" applyFont="1"/>
    <xf numFmtId="169" fontId="45" fillId="10" borderId="0" xfId="0" applyFont="1" applyFill="1" applyAlignment="1">
      <alignment horizontal="right" vertical="center" wrapText="1"/>
    </xf>
    <xf numFmtId="169" fontId="46" fillId="3" borderId="10" xfId="0" applyNumberFormat="1" applyFont="1" applyFill="1" applyBorder="1" applyAlignment="1">
      <alignment horizontal="left" vertical="top" wrapText="1"/>
    </xf>
    <xf numFmtId="169" fontId="47" fillId="0" borderId="0" xfId="0" applyFont="1"/>
    <xf numFmtId="169" fontId="5" fillId="0" borderId="19" xfId="19" applyFont="1" applyBorder="1" applyAlignment="1">
      <alignment horizontal="center" vertical="center" wrapText="1"/>
    </xf>
    <xf numFmtId="169" fontId="5" fillId="0" borderId="32" xfId="19" applyFont="1" applyBorder="1" applyAlignment="1">
      <alignment horizontal="center" vertical="center" wrapText="1"/>
    </xf>
    <xf numFmtId="169" fontId="5" fillId="0" borderId="33" xfId="22" applyFont="1" applyBorder="1" applyAlignment="1">
      <alignment horizontal="center" vertical="center" wrapText="1"/>
    </xf>
    <xf numFmtId="169" fontId="5" fillId="0" borderId="37" xfId="22" applyFont="1" applyBorder="1" applyAlignment="1">
      <alignment horizontal="center" vertical="center" wrapText="1"/>
    </xf>
    <xf numFmtId="169" fontId="5" fillId="0" borderId="38" xfId="22" applyFont="1" applyBorder="1" applyAlignment="1">
      <alignment horizontal="center" vertical="center" wrapText="1"/>
    </xf>
    <xf numFmtId="169" fontId="5" fillId="0" borderId="20" xfId="19" applyFont="1" applyBorder="1" applyAlignment="1">
      <alignment horizontal="center" vertical="center" wrapText="1"/>
    </xf>
    <xf numFmtId="169" fontId="24" fillId="4" borderId="8" xfId="19" applyFont="1" applyFill="1" applyBorder="1"/>
    <xf numFmtId="169" fontId="25" fillId="4" borderId="7" xfId="19" applyFont="1" applyFill="1" applyBorder="1"/>
    <xf numFmtId="169" fontId="26" fillId="4" borderId="7" xfId="19" applyFont="1" applyFill="1" applyBorder="1" applyAlignment="1">
      <alignment horizontal="center"/>
    </xf>
    <xf numFmtId="169" fontId="26" fillId="4" borderId="7" xfId="19" applyFont="1" applyFill="1" applyBorder="1"/>
    <xf numFmtId="169" fontId="27" fillId="4" borderId="7" xfId="19" applyFont="1" applyFill="1" applyBorder="1"/>
    <xf numFmtId="169" fontId="13" fillId="4" borderId="7" xfId="19" applyFill="1" applyBorder="1"/>
    <xf numFmtId="169" fontId="13" fillId="4" borderId="0" xfId="21" applyFill="1" applyBorder="1"/>
    <xf numFmtId="169" fontId="13" fillId="4" borderId="8" xfId="19" applyFont="1" applyFill="1" applyBorder="1"/>
    <xf numFmtId="169" fontId="5" fillId="5" borderId="8" xfId="19" applyFont="1" applyFill="1" applyBorder="1"/>
    <xf numFmtId="169" fontId="9" fillId="5" borderId="7" xfId="19" applyFont="1" applyFill="1" applyBorder="1"/>
    <xf numFmtId="169" fontId="13" fillId="5" borderId="7" xfId="19" applyFill="1" applyBorder="1" applyAlignment="1">
      <alignment horizontal="center"/>
    </xf>
    <xf numFmtId="169" fontId="13" fillId="5" borderId="7" xfId="19" applyFill="1" applyBorder="1"/>
    <xf numFmtId="169" fontId="27" fillId="5" borderId="7" xfId="19" applyFont="1" applyFill="1" applyBorder="1"/>
    <xf numFmtId="169" fontId="13" fillId="5" borderId="0" xfId="21" applyFill="1" applyBorder="1"/>
    <xf numFmtId="169" fontId="13" fillId="5" borderId="10" xfId="19" applyFont="1" applyFill="1" applyBorder="1"/>
    <xf numFmtId="169" fontId="13" fillId="6" borderId="8" xfId="19" applyFill="1" applyBorder="1"/>
    <xf numFmtId="169" fontId="28" fillId="6" borderId="7" xfId="19" applyFont="1" applyFill="1" applyBorder="1"/>
    <xf numFmtId="169" fontId="29" fillId="5" borderId="7" xfId="19" applyFont="1" applyFill="1" applyBorder="1" applyAlignment="1">
      <alignment horizontal="center"/>
    </xf>
    <xf numFmtId="169" fontId="2" fillId="6" borderId="7" xfId="19" applyFont="1" applyFill="1" applyBorder="1"/>
    <xf numFmtId="169" fontId="13" fillId="6" borderId="7" xfId="19" applyFill="1" applyBorder="1"/>
    <xf numFmtId="169" fontId="27" fillId="3" borderId="7" xfId="19" applyFont="1" applyFill="1" applyBorder="1"/>
    <xf numFmtId="169" fontId="13" fillId="6" borderId="0" xfId="21" applyFill="1" applyBorder="1"/>
    <xf numFmtId="169" fontId="13" fillId="6" borderId="10" xfId="19" applyFont="1" applyFill="1" applyBorder="1"/>
    <xf numFmtId="169" fontId="13" fillId="6" borderId="7" xfId="19" applyFont="1" applyFill="1" applyBorder="1" applyAlignment="1">
      <alignment horizontal="center"/>
    </xf>
    <xf numFmtId="169" fontId="13" fillId="6" borderId="7" xfId="19" applyFill="1" applyBorder="1" applyAlignment="1">
      <alignment horizontal="center"/>
    </xf>
    <xf numFmtId="169" fontId="5" fillId="6" borderId="8" xfId="19" applyFont="1" applyFill="1" applyBorder="1"/>
    <xf numFmtId="169" fontId="13" fillId="3" borderId="7" xfId="19" applyFill="1" applyBorder="1" applyAlignment="1">
      <alignment horizontal="center"/>
    </xf>
    <xf numFmtId="169" fontId="2" fillId="5" borderId="7" xfId="19" applyFont="1" applyFill="1" applyBorder="1"/>
    <xf numFmtId="169" fontId="29" fillId="6" borderId="7" xfId="19" applyFont="1" applyFill="1" applyBorder="1" applyAlignment="1">
      <alignment horizontal="center"/>
    </xf>
    <xf numFmtId="169" fontId="13" fillId="0" borderId="7" xfId="19" applyBorder="1" applyAlignment="1">
      <alignment horizontal="center"/>
    </xf>
    <xf numFmtId="169" fontId="13" fillId="5" borderId="8" xfId="19" applyFill="1" applyBorder="1"/>
    <xf numFmtId="169" fontId="30" fillId="5" borderId="7" xfId="19" applyFont="1" applyFill="1" applyBorder="1" applyAlignment="1">
      <alignment horizontal="center"/>
    </xf>
    <xf numFmtId="169" fontId="5" fillId="6" borderId="7" xfId="19" applyFont="1" applyFill="1" applyBorder="1"/>
    <xf numFmtId="169" fontId="13" fillId="0" borderId="8" xfId="19" applyBorder="1"/>
    <xf numFmtId="169" fontId="28" fillId="0" borderId="7" xfId="19" applyFont="1" applyBorder="1"/>
    <xf numFmtId="169" fontId="13" fillId="0" borderId="7" xfId="19" applyBorder="1"/>
    <xf numFmtId="169" fontId="13" fillId="0" borderId="0" xfId="21" applyBorder="1"/>
    <xf numFmtId="169" fontId="13" fillId="0" borderId="10" xfId="19" applyFont="1" applyBorder="1"/>
    <xf numFmtId="169" fontId="13" fillId="3" borderId="8" xfId="19" applyFill="1" applyBorder="1"/>
    <xf numFmtId="169" fontId="28" fillId="3" borderId="7" xfId="19" applyFont="1" applyFill="1" applyBorder="1"/>
    <xf numFmtId="169" fontId="13" fillId="3" borderId="7" xfId="19" applyFont="1" applyFill="1" applyBorder="1" applyAlignment="1">
      <alignment horizontal="center"/>
    </xf>
    <xf numFmtId="169" fontId="13" fillId="3" borderId="7" xfId="19" applyFill="1" applyBorder="1"/>
    <xf numFmtId="169" fontId="13" fillId="3" borderId="0" xfId="21" applyFill="1" applyBorder="1"/>
    <xf numFmtId="169" fontId="13" fillId="3" borderId="10" xfId="19" applyFont="1" applyFill="1" applyBorder="1"/>
    <xf numFmtId="169" fontId="31" fillId="3" borderId="7" xfId="19" applyFont="1" applyFill="1" applyBorder="1"/>
    <xf numFmtId="169" fontId="13" fillId="0" borderId="7" xfId="19" applyFont="1" applyBorder="1" applyAlignment="1">
      <alignment horizontal="center"/>
    </xf>
    <xf numFmtId="169" fontId="5" fillId="3" borderId="7" xfId="19" applyFont="1" applyFill="1" applyBorder="1"/>
    <xf numFmtId="169" fontId="13" fillId="0" borderId="10" xfId="19" applyFont="1" applyBorder="1" applyAlignment="1">
      <alignment horizontal="center"/>
    </xf>
    <xf numFmtId="169" fontId="13" fillId="0" borderId="0" xfId="21" applyFont="1"/>
    <xf numFmtId="169" fontId="15" fillId="0" borderId="0" xfId="18" quotePrefix="1" applyFont="1"/>
    <xf numFmtId="169" fontId="8" fillId="0" borderId="0" xfId="18" applyFont="1"/>
    <xf numFmtId="169" fontId="42" fillId="0" borderId="0" xfId="0" applyFont="1" applyAlignment="1">
      <alignment horizontal="center"/>
    </xf>
    <xf numFmtId="169" fontId="42" fillId="0" borderId="18" xfId="0" applyFont="1" applyBorder="1"/>
    <xf numFmtId="169" fontId="47" fillId="0" borderId="11" xfId="0" applyFont="1" applyBorder="1"/>
    <xf numFmtId="169" fontId="42" fillId="0" borderId="11" xfId="0" applyFont="1" applyBorder="1"/>
    <xf numFmtId="169" fontId="42" fillId="0" borderId="25" xfId="0" applyFont="1" applyBorder="1"/>
    <xf numFmtId="169" fontId="47" fillId="0" borderId="27" xfId="0" applyFont="1" applyBorder="1"/>
    <xf numFmtId="169" fontId="42" fillId="0" borderId="27" xfId="0" applyFont="1" applyBorder="1"/>
    <xf numFmtId="169" fontId="8" fillId="0" borderId="27" xfId="18" applyFont="1" applyBorder="1"/>
    <xf numFmtId="169" fontId="42" fillId="0" borderId="27" xfId="0" applyFont="1" applyBorder="1" applyAlignment="1">
      <alignment wrapText="1"/>
    </xf>
    <xf numFmtId="169" fontId="42" fillId="0" borderId="39" xfId="0" applyFont="1" applyBorder="1" applyAlignment="1">
      <alignment wrapText="1"/>
    </xf>
    <xf numFmtId="169" fontId="48" fillId="0" borderId="11" xfId="0" applyFont="1" applyBorder="1"/>
    <xf numFmtId="169" fontId="42" fillId="0" borderId="15" xfId="0" applyFont="1" applyBorder="1"/>
    <xf numFmtId="169" fontId="49" fillId="0" borderId="11" xfId="0" applyFont="1" applyBorder="1"/>
    <xf numFmtId="169" fontId="49" fillId="0" borderId="40" xfId="0" applyFont="1" applyBorder="1"/>
    <xf numFmtId="169" fontId="42" fillId="11" borderId="41" xfId="0" applyFont="1" applyFill="1" applyBorder="1"/>
    <xf numFmtId="169" fontId="0" fillId="12" borderId="42" xfId="0" applyFill="1" applyBorder="1" applyAlignment="1">
      <alignment wrapText="1"/>
    </xf>
    <xf numFmtId="169" fontId="0" fillId="12" borderId="42" xfId="0" applyFill="1" applyBorder="1"/>
    <xf numFmtId="169" fontId="0" fillId="12" borderId="43" xfId="0" applyFill="1" applyBorder="1"/>
    <xf numFmtId="169" fontId="42" fillId="11" borderId="26" xfId="0" applyFont="1" applyFill="1" applyBorder="1"/>
    <xf numFmtId="169" fontId="0" fillId="12" borderId="26" xfId="0" applyFill="1" applyBorder="1"/>
    <xf numFmtId="14" fontId="42" fillId="11" borderId="26" xfId="0" applyNumberFormat="1" applyFont="1" applyFill="1" applyBorder="1"/>
    <xf numFmtId="169" fontId="0" fillId="12" borderId="26" xfId="0" applyNumberFormat="1" applyFill="1" applyBorder="1"/>
    <xf numFmtId="14" fontId="0" fillId="12" borderId="26" xfId="0" applyNumberFormat="1" applyFill="1" applyBorder="1"/>
    <xf numFmtId="169" fontId="0" fillId="12" borderId="29" xfId="0" applyFill="1" applyBorder="1"/>
    <xf numFmtId="169" fontId="0" fillId="0" borderId="11" xfId="0" applyFill="1" applyBorder="1"/>
    <xf numFmtId="169" fontId="0" fillId="0" borderId="14" xfId="0" applyFill="1" applyBorder="1"/>
    <xf numFmtId="169" fontId="42" fillId="0" borderId="11" xfId="0" applyFont="1" applyFill="1" applyBorder="1"/>
    <xf numFmtId="169" fontId="0" fillId="12" borderId="11" xfId="0" applyFill="1" applyBorder="1"/>
    <xf numFmtId="14" fontId="0" fillId="0" borderId="14" xfId="0" applyNumberFormat="1" applyFill="1" applyBorder="1"/>
    <xf numFmtId="169" fontId="48" fillId="0" borderId="11" xfId="0" applyFont="1" applyFill="1" applyBorder="1"/>
    <xf numFmtId="169" fontId="0" fillId="0" borderId="40" xfId="0" applyFill="1" applyBorder="1"/>
    <xf numFmtId="169" fontId="0" fillId="0" borderId="44" xfId="0" applyFill="1" applyBorder="1"/>
    <xf numFmtId="169" fontId="49" fillId="0" borderId="45" xfId="0" applyFont="1" applyBorder="1"/>
    <xf numFmtId="169" fontId="42" fillId="11" borderId="38" xfId="0" applyFont="1" applyFill="1" applyBorder="1"/>
    <xf numFmtId="169" fontId="42" fillId="0" borderId="0" xfId="0" applyFont="1" applyAlignment="1">
      <alignment horizontal="left"/>
    </xf>
    <xf numFmtId="169" fontId="47" fillId="0" borderId="0" xfId="0" applyFont="1" applyAlignment="1">
      <alignment vertical="center" wrapText="1"/>
    </xf>
    <xf numFmtId="169" fontId="50" fillId="0" borderId="46" xfId="0" applyFont="1" applyBorder="1" applyAlignment="1">
      <alignment horizontal="center" vertical="center" wrapText="1"/>
    </xf>
    <xf numFmtId="169" fontId="50" fillId="0" borderId="0" xfId="0" applyFont="1" applyAlignment="1">
      <alignment vertical="center" wrapText="1"/>
    </xf>
    <xf numFmtId="169" fontId="50" fillId="0" borderId="46" xfId="0" applyFont="1" applyBorder="1" applyAlignment="1">
      <alignment vertical="center" wrapText="1"/>
    </xf>
    <xf numFmtId="169" fontId="52" fillId="0" borderId="33" xfId="0" applyFont="1" applyBorder="1" applyAlignment="1">
      <alignment horizontal="center" vertical="center" wrapText="1"/>
    </xf>
    <xf numFmtId="169" fontId="53" fillId="0" borderId="37" xfId="0" applyFont="1" applyBorder="1" applyAlignment="1">
      <alignment horizontal="center" vertical="center" wrapText="1"/>
    </xf>
    <xf numFmtId="169" fontId="53" fillId="0" borderId="38" xfId="0" applyFont="1" applyBorder="1" applyAlignment="1">
      <alignment horizontal="center" vertical="center" wrapText="1"/>
    </xf>
    <xf numFmtId="169" fontId="53" fillId="0" borderId="45" xfId="0" applyFont="1" applyBorder="1" applyAlignment="1">
      <alignment horizontal="center" vertical="center" wrapText="1"/>
    </xf>
    <xf numFmtId="169" fontId="53" fillId="0" borderId="33" xfId="0" applyFont="1" applyBorder="1" applyAlignment="1">
      <alignment horizontal="center" vertical="center" wrapText="1"/>
    </xf>
    <xf numFmtId="169" fontId="51" fillId="0" borderId="48" xfId="0" applyFont="1" applyBorder="1" applyAlignment="1">
      <alignment horizontal="center" vertical="center" wrapText="1"/>
    </xf>
    <xf numFmtId="169" fontId="51" fillId="0" borderId="49" xfId="0" applyFont="1" applyBorder="1" applyAlignment="1">
      <alignment horizontal="center" vertical="center" wrapText="1"/>
    </xf>
    <xf numFmtId="169" fontId="51" fillId="0" borderId="50" xfId="0" applyFont="1" applyBorder="1" applyAlignment="1">
      <alignment horizontal="center" vertical="center" wrapText="1"/>
    </xf>
    <xf numFmtId="169" fontId="54" fillId="0" borderId="46" xfId="0" applyFont="1" applyBorder="1" applyAlignment="1">
      <alignment horizontal="center" vertical="center" wrapText="1"/>
    </xf>
    <xf numFmtId="169" fontId="0" fillId="0" borderId="0" xfId="0" applyAlignment="1">
      <alignment horizontal="center"/>
    </xf>
    <xf numFmtId="169" fontId="44" fillId="0" borderId="53" xfId="0" applyFont="1" applyBorder="1" applyAlignment="1">
      <alignment vertical="center" wrapText="1"/>
    </xf>
    <xf numFmtId="169" fontId="44" fillId="0" borderId="0" xfId="0" applyFont="1" applyBorder="1" applyAlignment="1">
      <alignment vertical="center" wrapText="1"/>
    </xf>
    <xf numFmtId="169" fontId="47" fillId="0" borderId="53" xfId="0" applyFont="1" applyBorder="1" applyAlignment="1">
      <alignment vertical="center" wrapText="1"/>
    </xf>
    <xf numFmtId="169" fontId="48" fillId="0" borderId="55" xfId="0" applyFont="1" applyBorder="1"/>
    <xf numFmtId="169" fontId="0" fillId="12" borderId="9" xfId="0" applyFill="1" applyBorder="1"/>
    <xf numFmtId="169" fontId="48" fillId="13" borderId="11" xfId="0" applyFont="1" applyFill="1" applyBorder="1"/>
    <xf numFmtId="169" fontId="0" fillId="13" borderId="14" xfId="0" applyFill="1" applyBorder="1"/>
    <xf numFmtId="169" fontId="55" fillId="13" borderId="45" xfId="0" applyFont="1" applyFill="1" applyBorder="1" applyAlignment="1">
      <alignment vertical="center" wrapText="1"/>
    </xf>
    <xf numFmtId="169" fontId="47" fillId="0" borderId="52" xfId="0" applyFont="1" applyBorder="1" applyAlignment="1">
      <alignment vertical="center" wrapText="1"/>
    </xf>
    <xf numFmtId="169" fontId="49" fillId="0" borderId="15" xfId="0" applyFont="1" applyBorder="1"/>
    <xf numFmtId="169" fontId="51" fillId="0" borderId="33" xfId="0" applyFont="1" applyBorder="1" applyAlignment="1">
      <alignment horizontal="center" vertical="center" wrapText="1"/>
    </xf>
    <xf numFmtId="169" fontId="51" fillId="0" borderId="37" xfId="0" applyFont="1" applyBorder="1" applyAlignment="1">
      <alignment horizontal="center" vertical="center" wrapText="1"/>
    </xf>
    <xf numFmtId="169" fontId="47" fillId="0" borderId="45" xfId="0" applyFont="1" applyBorder="1" applyAlignment="1">
      <alignment vertical="center" wrapText="1"/>
    </xf>
    <xf numFmtId="169" fontId="47" fillId="0" borderId="54" xfId="0" applyFont="1" applyBorder="1" applyAlignment="1">
      <alignment vertical="center" wrapText="1"/>
    </xf>
    <xf numFmtId="169" fontId="7" fillId="5" borderId="64" xfId="18" applyNumberFormat="1" applyFont="1" applyFill="1" applyBorder="1" applyAlignment="1"/>
    <xf numFmtId="169" fontId="8" fillId="7" borderId="65" xfId="18" applyNumberFormat="1" applyFont="1" applyFill="1" applyBorder="1" applyAlignment="1">
      <alignment horizontal="left" wrapText="1"/>
    </xf>
    <xf numFmtId="169" fontId="8" fillId="7" borderId="64" xfId="18" applyNumberFormat="1" applyFont="1" applyFill="1" applyBorder="1" applyAlignment="1">
      <alignment horizontal="left" wrapText="1"/>
    </xf>
    <xf numFmtId="169" fontId="8" fillId="5" borderId="64" xfId="18" applyNumberFormat="1" applyFont="1" applyFill="1" applyBorder="1" applyAlignment="1">
      <alignment horizontal="left" wrapText="1"/>
    </xf>
    <xf numFmtId="169" fontId="8" fillId="14" borderId="64" xfId="18" applyNumberFormat="1" applyFont="1" applyFill="1" applyBorder="1" applyAlignment="1">
      <alignment horizontal="left" wrapText="1"/>
    </xf>
    <xf numFmtId="2" fontId="8" fillId="14" borderId="64" xfId="18" applyNumberFormat="1" applyFont="1" applyFill="1" applyBorder="1" applyAlignment="1">
      <alignment horizontal="left" wrapText="1"/>
    </xf>
    <xf numFmtId="14" fontId="8" fillId="14" borderId="64" xfId="18" applyNumberFormat="1" applyFont="1" applyFill="1" applyBorder="1" applyAlignment="1">
      <alignment horizontal="left" wrapText="1"/>
    </xf>
    <xf numFmtId="169" fontId="8" fillId="14" borderId="66" xfId="18" applyNumberFormat="1" applyFont="1" applyFill="1" applyBorder="1" applyAlignment="1">
      <alignment horizontal="left" wrapText="1"/>
    </xf>
    <xf numFmtId="169" fontId="42" fillId="13" borderId="0" xfId="0" applyFont="1" applyFill="1" applyAlignment="1">
      <alignment horizontal="center"/>
    </xf>
    <xf numFmtId="169" fontId="42" fillId="13" borderId="24" xfId="0" applyFont="1" applyFill="1" applyBorder="1"/>
    <xf numFmtId="169" fontId="0" fillId="11" borderId="26" xfId="0" applyFill="1" applyBorder="1"/>
    <xf numFmtId="169" fontId="37" fillId="0" borderId="25" xfId="0" applyFont="1" applyBorder="1"/>
    <xf numFmtId="169" fontId="37" fillId="0" borderId="27" xfId="0" applyFont="1" applyBorder="1"/>
    <xf numFmtId="169" fontId="37" fillId="0" borderId="39" xfId="0" applyFont="1" applyBorder="1"/>
    <xf numFmtId="169" fontId="48" fillId="0" borderId="14" xfId="0" applyFont="1" applyFill="1" applyBorder="1"/>
    <xf numFmtId="169" fontId="0" fillId="13" borderId="26" xfId="0" applyFill="1" applyBorder="1"/>
    <xf numFmtId="169" fontId="8" fillId="0" borderId="0" xfId="24" applyFont="1" applyFill="1"/>
    <xf numFmtId="169" fontId="42" fillId="0" borderId="56" xfId="0" applyFont="1" applyFill="1" applyBorder="1" applyAlignment="1">
      <alignment horizontal="center"/>
    </xf>
    <xf numFmtId="169" fontId="0" fillId="0" borderId="35" xfId="0" applyFill="1" applyBorder="1"/>
    <xf numFmtId="169" fontId="44" fillId="0" borderId="35" xfId="0" applyFont="1" applyBorder="1"/>
    <xf numFmtId="169" fontId="0" fillId="0" borderId="34" xfId="0" applyFill="1" applyBorder="1"/>
    <xf numFmtId="169" fontId="42" fillId="0" borderId="18" xfId="0" applyFont="1" applyFill="1" applyBorder="1" applyAlignment="1">
      <alignment horizontal="center"/>
    </xf>
    <xf numFmtId="169" fontId="42" fillId="0" borderId="13" xfId="0" applyFont="1" applyFill="1" applyBorder="1" applyAlignment="1">
      <alignment horizontal="center"/>
    </xf>
    <xf numFmtId="169" fontId="42" fillId="0" borderId="11" xfId="0" applyFont="1" applyFill="1" applyBorder="1" applyAlignment="1">
      <alignment horizontal="center"/>
    </xf>
    <xf numFmtId="169" fontId="50" fillId="0" borderId="11" xfId="0" applyFont="1" applyBorder="1" applyAlignment="1">
      <alignment vertical="center" wrapText="1"/>
    </xf>
    <xf numFmtId="169" fontId="0" fillId="12" borderId="14" xfId="0" applyNumberFormat="1" applyFill="1" applyBorder="1"/>
    <xf numFmtId="169" fontId="0" fillId="12" borderId="14" xfId="0" applyFill="1" applyBorder="1" applyAlignment="1">
      <alignment horizontal="center" wrapText="1"/>
    </xf>
    <xf numFmtId="169" fontId="0" fillId="12" borderId="14" xfId="0" applyFill="1" applyBorder="1"/>
    <xf numFmtId="169" fontId="56" fillId="0" borderId="14" xfId="0" applyFont="1" applyBorder="1"/>
    <xf numFmtId="169" fontId="0" fillId="0" borderId="0" xfId="0" applyAlignment="1">
      <alignment horizontal="center" wrapText="1"/>
    </xf>
    <xf numFmtId="2" fontId="47" fillId="0" borderId="46" xfId="0" applyNumberFormat="1" applyFont="1" applyBorder="1" applyAlignment="1">
      <alignment horizontal="center" vertical="center" wrapText="1"/>
    </xf>
    <xf numFmtId="14" fontId="0" fillId="0" borderId="35" xfId="0" applyNumberFormat="1" applyFill="1" applyBorder="1"/>
    <xf numFmtId="169" fontId="0" fillId="0" borderId="15" xfId="0" applyFill="1" applyBorder="1"/>
    <xf numFmtId="2" fontId="51" fillId="0" borderId="46" xfId="0" applyNumberFormat="1" applyFont="1" applyBorder="1" applyAlignment="1">
      <alignment horizontal="center" vertical="center" wrapText="1"/>
    </xf>
    <xf numFmtId="2" fontId="57" fillId="0" borderId="25" xfId="0" applyNumberFormat="1" applyFont="1" applyBorder="1" applyAlignment="1">
      <alignment horizontal="center" vertical="center" wrapText="1"/>
    </xf>
    <xf numFmtId="169" fontId="49" fillId="0" borderId="47" xfId="0" applyFont="1" applyBorder="1" applyAlignment="1">
      <alignment vertical="center" wrapText="1"/>
    </xf>
    <xf numFmtId="169" fontId="49" fillId="0" borderId="46" xfId="0" applyFont="1" applyBorder="1" applyAlignment="1">
      <alignment horizontal="center" vertical="center" wrapText="1"/>
    </xf>
    <xf numFmtId="2" fontId="49" fillId="0" borderId="46" xfId="0" applyNumberFormat="1" applyFont="1" applyBorder="1" applyAlignment="1">
      <alignment horizontal="center" vertical="center" wrapText="1"/>
    </xf>
    <xf numFmtId="169" fontId="0" fillId="11" borderId="11" xfId="0" applyFill="1" applyBorder="1"/>
    <xf numFmtId="169" fontId="56" fillId="11" borderId="14" xfId="0" applyFont="1" applyFill="1" applyBorder="1"/>
    <xf numFmtId="169" fontId="8" fillId="14" borderId="0" xfId="18" applyNumberFormat="1" applyFont="1" applyFill="1" applyBorder="1" applyAlignment="1">
      <alignment horizontal="left" wrapText="1"/>
    </xf>
    <xf numFmtId="169" fontId="42" fillId="0" borderId="55" xfId="0" applyFont="1" applyFill="1" applyBorder="1" applyAlignment="1">
      <alignment horizontal="center"/>
    </xf>
    <xf numFmtId="169" fontId="42" fillId="0" borderId="57" xfId="0" applyFont="1" applyFill="1" applyBorder="1" applyAlignment="1">
      <alignment horizontal="center"/>
    </xf>
    <xf numFmtId="169" fontId="42" fillId="0" borderId="58" xfId="0" applyFont="1" applyFill="1" applyBorder="1" applyAlignment="1">
      <alignment horizontal="center"/>
    </xf>
    <xf numFmtId="169" fontId="42" fillId="0" borderId="0" xfId="0" applyFont="1" applyBorder="1"/>
    <xf numFmtId="169" fontId="47" fillId="0" borderId="0" xfId="0" applyFont="1" applyBorder="1"/>
    <xf numFmtId="169" fontId="8" fillId="0" borderId="0" xfId="18" applyFont="1" applyBorder="1"/>
    <xf numFmtId="169" fontId="42" fillId="0" borderId="0" xfId="0" applyFont="1" applyBorder="1" applyAlignment="1">
      <alignment wrapText="1"/>
    </xf>
    <xf numFmtId="169" fontId="47" fillId="0" borderId="0" xfId="0" applyFont="1" applyBorder="1" applyAlignment="1">
      <alignment vertical="center" wrapText="1"/>
    </xf>
    <xf numFmtId="169" fontId="55" fillId="13" borderId="0" xfId="0" applyFont="1" applyFill="1" applyBorder="1" applyAlignment="1">
      <alignment vertical="center" wrapText="1"/>
    </xf>
    <xf numFmtId="169" fontId="48" fillId="0" borderId="0" xfId="0" applyFont="1" applyBorder="1"/>
    <xf numFmtId="169" fontId="49" fillId="0" borderId="0" xfId="0" applyFont="1" applyBorder="1"/>
    <xf numFmtId="169" fontId="41" fillId="0" borderId="0" xfId="12"/>
    <xf numFmtId="169" fontId="49" fillId="0" borderId="53" xfId="0" applyFont="1" applyBorder="1"/>
    <xf numFmtId="169" fontId="49" fillId="0" borderId="59" xfId="0" applyFont="1" applyBorder="1"/>
    <xf numFmtId="2" fontId="0" fillId="11" borderId="26" xfId="0" applyNumberFormat="1" applyFill="1" applyBorder="1"/>
    <xf numFmtId="169" fontId="48" fillId="12" borderId="11" xfId="0" applyFont="1" applyFill="1" applyBorder="1"/>
    <xf numFmtId="169" fontId="42" fillId="12" borderId="9" xfId="0" applyFont="1" applyFill="1" applyBorder="1"/>
    <xf numFmtId="169" fontId="42" fillId="11" borderId="0" xfId="0" applyFont="1" applyFill="1" applyBorder="1"/>
    <xf numFmtId="167" fontId="51" fillId="0" borderId="46" xfId="0" applyNumberFormat="1" applyFont="1" applyBorder="1" applyAlignment="1">
      <alignment horizontal="center" vertical="center" wrapText="1"/>
    </xf>
    <xf numFmtId="169" fontId="50" fillId="0" borderId="46" xfId="0" applyFont="1" applyBorder="1" applyAlignment="1">
      <alignment vertical="center"/>
    </xf>
    <xf numFmtId="169" fontId="0" fillId="0" borderId="46" xfId="0" applyBorder="1"/>
    <xf numFmtId="169" fontId="50" fillId="0" borderId="0" xfId="0" applyFont="1" applyBorder="1" applyAlignment="1">
      <alignment vertical="center"/>
    </xf>
    <xf numFmtId="169" fontId="0" fillId="0" borderId="14" xfId="0" quotePrefix="1" applyFill="1" applyBorder="1"/>
    <xf numFmtId="169" fontId="0" fillId="15" borderId="64" xfId="0" applyFont="1" applyFill="1" applyBorder="1"/>
    <xf numFmtId="169" fontId="0" fillId="12" borderId="51" xfId="0" applyFill="1" applyBorder="1"/>
    <xf numFmtId="169" fontId="41" fillId="0" borderId="17" xfId="12" applyFill="1" applyBorder="1"/>
    <xf numFmtId="169" fontId="0" fillId="0" borderId="10" xfId="0" applyFill="1" applyBorder="1"/>
    <xf numFmtId="169" fontId="48" fillId="11" borderId="11" xfId="0" applyFont="1" applyFill="1" applyBorder="1"/>
    <xf numFmtId="169" fontId="42" fillId="11" borderId="11" xfId="0" applyFont="1" applyFill="1" applyBorder="1"/>
    <xf numFmtId="169" fontId="46" fillId="13" borderId="10" xfId="0" applyNumberFormat="1" applyFont="1" applyFill="1" applyBorder="1" applyAlignment="1">
      <alignment horizontal="left" vertical="top" wrapText="1"/>
    </xf>
    <xf numFmtId="169" fontId="60" fillId="10" borderId="0" xfId="0" applyFont="1" applyFill="1" applyAlignment="1">
      <alignment horizontal="right" vertical="center" wrapText="1"/>
    </xf>
    <xf numFmtId="169" fontId="42" fillId="12" borderId="45" xfId="0" applyFont="1" applyFill="1" applyBorder="1"/>
    <xf numFmtId="169" fontId="0" fillId="0" borderId="62" xfId="0" applyNumberFormat="1" applyFont="1" applyBorder="1" applyAlignment="1">
      <alignment vertical="top" wrapText="1"/>
    </xf>
    <xf numFmtId="169" fontId="0" fillId="0" borderId="23" xfId="0" applyNumberFormat="1" applyFont="1" applyBorder="1" applyAlignment="1">
      <alignment vertical="top" wrapText="1"/>
    </xf>
    <xf numFmtId="169" fontId="0" fillId="13" borderId="35" xfId="0" applyFill="1" applyBorder="1"/>
    <xf numFmtId="169" fontId="0" fillId="13" borderId="0" xfId="0" applyFill="1"/>
    <xf numFmtId="169" fontId="0" fillId="12" borderId="0" xfId="0" applyFill="1" applyBorder="1"/>
    <xf numFmtId="169" fontId="0" fillId="0" borderId="16" xfId="0" applyFill="1" applyBorder="1"/>
    <xf numFmtId="169" fontId="0" fillId="0" borderId="63" xfId="0" applyFill="1" applyBorder="1"/>
    <xf numFmtId="169" fontId="49" fillId="0" borderId="52" xfId="0" applyFont="1" applyBorder="1"/>
    <xf numFmtId="169" fontId="42" fillId="11" borderId="51" xfId="0" applyFont="1" applyFill="1" applyBorder="1"/>
    <xf numFmtId="169" fontId="41" fillId="0" borderId="55" xfId="12" applyFill="1" applyBorder="1"/>
    <xf numFmtId="169" fontId="0" fillId="0" borderId="57" xfId="0" applyFill="1" applyBorder="1"/>
    <xf numFmtId="169" fontId="0" fillId="0" borderId="58" xfId="0" applyFill="1" applyBorder="1"/>
    <xf numFmtId="169" fontId="47" fillId="13" borderId="45" xfId="0" applyFont="1" applyFill="1" applyBorder="1"/>
    <xf numFmtId="169" fontId="0" fillId="13" borderId="38" xfId="0" applyFill="1" applyBorder="1"/>
    <xf numFmtId="169" fontId="0" fillId="13" borderId="19" xfId="0" applyFill="1" applyBorder="1"/>
    <xf numFmtId="169" fontId="0" fillId="13" borderId="36" xfId="0" applyFill="1" applyBorder="1"/>
    <xf numFmtId="169" fontId="0" fillId="13" borderId="37" xfId="0" applyFill="1" applyBorder="1"/>
    <xf numFmtId="169" fontId="42" fillId="13" borderId="11" xfId="0" applyFont="1" applyFill="1" applyBorder="1"/>
    <xf numFmtId="169" fontId="42" fillId="13" borderId="26" xfId="0" applyFont="1" applyFill="1" applyBorder="1"/>
    <xf numFmtId="169" fontId="42" fillId="17" borderId="7" xfId="0" applyFont="1" applyFill="1" applyBorder="1" applyAlignment="1">
      <alignment horizontal="center"/>
    </xf>
    <xf numFmtId="169" fontId="42" fillId="17" borderId="8" xfId="0" applyFont="1" applyFill="1" applyBorder="1" applyAlignment="1">
      <alignment horizontal="center"/>
    </xf>
    <xf numFmtId="169" fontId="42" fillId="17" borderId="9" xfId="0" applyFont="1" applyFill="1" applyBorder="1" applyAlignment="1">
      <alignment horizontal="center"/>
    </xf>
    <xf numFmtId="169" fontId="0" fillId="0" borderId="10" xfId="0" applyBorder="1"/>
    <xf numFmtId="169" fontId="0" fillId="0" borderId="10" xfId="0" applyBorder="1" applyAlignment="1">
      <alignment horizontal="center"/>
    </xf>
    <xf numFmtId="169" fontId="0" fillId="0" borderId="26" xfId="0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9" fontId="43" fillId="0" borderId="10" xfId="0" applyFont="1" applyBorder="1"/>
    <xf numFmtId="169" fontId="43" fillId="0" borderId="5" xfId="0" applyFont="1" applyBorder="1"/>
    <xf numFmtId="169" fontId="0" fillId="0" borderId="5" xfId="0" applyBorder="1" applyAlignment="1">
      <alignment horizontal="center"/>
    </xf>
    <xf numFmtId="169" fontId="0" fillId="0" borderId="6" xfId="0" applyBorder="1" applyAlignment="1">
      <alignment horizontal="center"/>
    </xf>
    <xf numFmtId="169" fontId="57" fillId="0" borderId="48" xfId="0" applyFont="1" applyBorder="1" applyAlignment="1">
      <alignment horizontal="center" vertical="center" wrapText="1"/>
    </xf>
    <xf numFmtId="169" fontId="57" fillId="0" borderId="50" xfId="0" applyFont="1" applyBorder="1" applyAlignment="1">
      <alignment horizontal="center" vertical="center" wrapText="1"/>
    </xf>
    <xf numFmtId="169" fontId="0" fillId="0" borderId="0" xfId="0" applyFill="1" applyBorder="1"/>
    <xf numFmtId="169" fontId="8" fillId="18" borderId="0" xfId="18" applyNumberFormat="1" applyFont="1" applyFill="1" applyBorder="1" applyAlignment="1">
      <alignment horizontal="left" wrapText="1"/>
    </xf>
    <xf numFmtId="2" fontId="0" fillId="11" borderId="0" xfId="0" applyNumberFormat="1" applyFill="1" applyBorder="1"/>
    <xf numFmtId="169" fontId="0" fillId="11" borderId="0" xfId="0" applyFill="1"/>
    <xf numFmtId="167" fontId="49" fillId="0" borderId="46" xfId="0" applyNumberFormat="1" applyFont="1" applyBorder="1" applyAlignment="1">
      <alignment horizontal="center" vertical="center" wrapText="1"/>
    </xf>
    <xf numFmtId="169" fontId="44" fillId="0" borderId="0" xfId="0" applyFont="1" applyAlignment="1">
      <alignment horizontal="justify" vertical="center"/>
    </xf>
    <xf numFmtId="169" fontId="66" fillId="0" borderId="33" xfId="0" applyFont="1" applyFill="1" applyBorder="1" applyAlignment="1">
      <alignment horizontal="center"/>
    </xf>
    <xf numFmtId="169" fontId="7" fillId="0" borderId="0" xfId="18" applyNumberFormat="1" applyFill="1"/>
    <xf numFmtId="169" fontId="7" fillId="0" borderId="64" xfId="18" applyNumberFormat="1" applyFont="1" applyBorder="1" applyAlignment="1">
      <alignment wrapText="1"/>
    </xf>
    <xf numFmtId="169" fontId="7" fillId="0" borderId="64" xfId="18" applyNumberFormat="1" applyFont="1" applyBorder="1" applyAlignment="1"/>
    <xf numFmtId="169" fontId="16" fillId="0" borderId="64" xfId="18" applyNumberFormat="1" applyFont="1" applyBorder="1" applyAlignment="1"/>
    <xf numFmtId="169" fontId="7" fillId="0" borderId="64" xfId="18" applyNumberFormat="1" applyFont="1" applyBorder="1" applyAlignment="1"/>
    <xf numFmtId="169" fontId="7" fillId="0" borderId="0" xfId="18" applyFont="1" applyFill="1"/>
    <xf numFmtId="169" fontId="47" fillId="15" borderId="68" xfId="0" applyFont="1" applyFill="1" applyBorder="1"/>
    <xf numFmtId="169" fontId="7" fillId="15" borderId="67" xfId="18" applyNumberFormat="1" applyFont="1" applyFill="1" applyBorder="1" applyAlignment="1">
      <alignment wrapText="1"/>
    </xf>
    <xf numFmtId="169" fontId="7" fillId="15" borderId="67" xfId="18" applyNumberFormat="1" applyFont="1" applyFill="1" applyBorder="1" applyAlignment="1"/>
    <xf numFmtId="169" fontId="16" fillId="15" borderId="67" xfId="18" applyNumberFormat="1" applyFont="1" applyFill="1" applyBorder="1" applyAlignment="1"/>
    <xf numFmtId="169" fontId="44" fillId="15" borderId="67" xfId="0" applyFont="1" applyFill="1" applyBorder="1"/>
    <xf numFmtId="169" fontId="0" fillId="3" borderId="69" xfId="0" applyNumberFormat="1" applyFont="1" applyFill="1" applyBorder="1" applyAlignment="1">
      <alignment horizontal="left" vertical="top" wrapText="1"/>
    </xf>
    <xf numFmtId="169" fontId="7" fillId="0" borderId="70" xfId="18" applyNumberFormat="1" applyFont="1" applyBorder="1" applyAlignment="1">
      <alignment wrapText="1"/>
    </xf>
    <xf numFmtId="169" fontId="18" fillId="0" borderId="67" xfId="18" applyNumberFormat="1" applyFont="1" applyBorder="1" applyAlignment="1"/>
    <xf numFmtId="169" fontId="7" fillId="0" borderId="67" xfId="18" applyNumberFormat="1" applyFont="1" applyBorder="1" applyAlignment="1">
      <alignment wrapText="1"/>
    </xf>
    <xf numFmtId="169" fontId="7" fillId="0" borderId="67" xfId="18" applyNumberFormat="1" applyFont="1" applyBorder="1" applyAlignment="1"/>
    <xf numFmtId="169" fontId="16" fillId="0" borderId="67" xfId="18" applyNumberFormat="1" applyFont="1" applyBorder="1" applyAlignment="1">
      <alignment wrapText="1"/>
    </xf>
    <xf numFmtId="169" fontId="16" fillId="0" borderId="67" xfId="18" applyNumberFormat="1" applyFont="1" applyBorder="1" applyAlignment="1"/>
    <xf numFmtId="169" fontId="44" fillId="0" borderId="67" xfId="0" applyFont="1" applyBorder="1"/>
    <xf numFmtId="169" fontId="7" fillId="0" borderId="67" xfId="18" applyNumberFormat="1" applyFont="1" applyBorder="1" applyAlignment="1"/>
    <xf numFmtId="169" fontId="7" fillId="0" borderId="71" xfId="18" applyNumberFormat="1" applyFont="1" applyBorder="1" applyAlignment="1"/>
    <xf numFmtId="169" fontId="7" fillId="0" borderId="0" xfId="18" applyNumberFormat="1" applyFont="1" applyBorder="1" applyAlignment="1"/>
    <xf numFmtId="169" fontId="67" fillId="0" borderId="0" xfId="0" applyFont="1" applyFill="1"/>
    <xf numFmtId="169" fontId="67" fillId="0" borderId="34" xfId="0" applyFont="1" applyFill="1" applyBorder="1"/>
    <xf numFmtId="169" fontId="67" fillId="0" borderId="35" xfId="0" applyFont="1" applyFill="1" applyBorder="1"/>
    <xf numFmtId="169" fontId="67" fillId="0" borderId="14" xfId="0" applyFont="1" applyFill="1" applyBorder="1"/>
    <xf numFmtId="169" fontId="67" fillId="0" borderId="13" xfId="0" applyFont="1" applyFill="1" applyBorder="1"/>
    <xf numFmtId="169" fontId="70" fillId="0" borderId="12" xfId="0" applyFont="1" applyFill="1" applyBorder="1" applyAlignment="1">
      <alignment horizontal="center" wrapText="1"/>
    </xf>
    <xf numFmtId="169" fontId="70" fillId="0" borderId="73" xfId="0" applyFont="1" applyFill="1" applyBorder="1" applyAlignment="1">
      <alignment horizontal="center" wrapText="1"/>
    </xf>
    <xf numFmtId="169" fontId="70" fillId="0" borderId="74" xfId="0" applyFont="1" applyFill="1" applyBorder="1" applyAlignment="1">
      <alignment horizontal="center" wrapText="1"/>
    </xf>
    <xf numFmtId="169" fontId="8" fillId="14" borderId="76" xfId="18" applyNumberFormat="1" applyFont="1" applyFill="1" applyBorder="1" applyAlignment="1">
      <alignment wrapText="1"/>
    </xf>
    <xf numFmtId="169" fontId="8" fillId="14" borderId="0" xfId="18" applyNumberFormat="1" applyFont="1" applyFill="1" applyBorder="1" applyAlignment="1">
      <alignment wrapText="1"/>
    </xf>
    <xf numFmtId="169" fontId="8" fillId="14" borderId="0" xfId="18" applyNumberFormat="1" applyFont="1" applyFill="1" applyBorder="1" applyAlignment="1">
      <alignment horizontal="center" wrapText="1"/>
    </xf>
    <xf numFmtId="169" fontId="8" fillId="14" borderId="0" xfId="18" applyNumberFormat="1" applyFont="1" applyFill="1" applyBorder="1" applyAlignment="1"/>
    <xf numFmtId="169" fontId="17" fillId="14" borderId="0" xfId="18" applyNumberFormat="1" applyFont="1" applyFill="1" applyBorder="1" applyAlignment="1"/>
    <xf numFmtId="169" fontId="8" fillId="14" borderId="0" xfId="18" applyNumberFormat="1" applyFont="1" applyFill="1" applyBorder="1" applyAlignment="1"/>
    <xf numFmtId="169" fontId="7" fillId="0" borderId="77" xfId="18" applyNumberFormat="1" applyFont="1" applyBorder="1" applyAlignment="1"/>
    <xf numFmtId="169" fontId="19" fillId="0" borderId="67" xfId="18" applyNumberFormat="1" applyFont="1" applyBorder="1" applyAlignment="1">
      <alignment wrapText="1"/>
    </xf>
    <xf numFmtId="169" fontId="8" fillId="14" borderId="78" xfId="18" applyNumberFormat="1" applyFont="1" applyFill="1" applyBorder="1" applyAlignment="1">
      <alignment wrapText="1"/>
    </xf>
    <xf numFmtId="169" fontId="8" fillId="14" borderId="79" xfId="18" applyNumberFormat="1" applyFont="1" applyFill="1" applyBorder="1" applyAlignment="1">
      <alignment wrapText="1"/>
    </xf>
    <xf numFmtId="169" fontId="8" fillId="14" borderId="79" xfId="18" applyNumberFormat="1" applyFont="1" applyFill="1" applyBorder="1" applyAlignment="1">
      <alignment horizontal="center" wrapText="1"/>
    </xf>
    <xf numFmtId="169" fontId="8" fillId="14" borderId="79" xfId="18" applyNumberFormat="1" applyFont="1" applyFill="1" applyBorder="1" applyAlignment="1"/>
    <xf numFmtId="169" fontId="17" fillId="14" borderId="79" xfId="18" applyNumberFormat="1" applyFont="1" applyFill="1" applyBorder="1" applyAlignment="1"/>
    <xf numFmtId="169" fontId="8" fillId="14" borderId="79" xfId="18" applyNumberFormat="1" applyFont="1" applyFill="1" applyBorder="1" applyAlignment="1"/>
    <xf numFmtId="169" fontId="8" fillId="7" borderId="0" xfId="30" applyFont="1" applyFill="1" applyAlignment="1">
      <alignment horizontal="center" wrapText="1"/>
    </xf>
    <xf numFmtId="49" fontId="8" fillId="5" borderId="0" xfId="30" applyNumberFormat="1" applyFont="1" applyFill="1" applyAlignment="1">
      <alignment horizontal="center" wrapText="1"/>
    </xf>
    <xf numFmtId="169" fontId="8" fillId="0" borderId="0" xfId="30" applyFont="1" applyAlignment="1">
      <alignment horizontal="center" wrapText="1"/>
    </xf>
    <xf numFmtId="169" fontId="7" fillId="0" borderId="0" xfId="30" applyAlignment="1">
      <alignment horizontal="center" wrapText="1"/>
    </xf>
    <xf numFmtId="169" fontId="7" fillId="0" borderId="0" xfId="30" applyAlignment="1">
      <alignment horizontal="right" wrapText="1"/>
    </xf>
    <xf numFmtId="2" fontId="7" fillId="0" borderId="0" xfId="30" applyNumberFormat="1" applyAlignment="1">
      <alignment horizontal="center" wrapText="1"/>
    </xf>
    <xf numFmtId="14" fontId="7" fillId="0" borderId="0" xfId="30" applyNumberFormat="1" applyAlignment="1">
      <alignment horizontal="center" wrapText="1"/>
    </xf>
    <xf numFmtId="49" fontId="7" fillId="0" borderId="0" xfId="30" applyNumberFormat="1" applyAlignment="1">
      <alignment horizontal="center" wrapText="1"/>
    </xf>
    <xf numFmtId="169" fontId="7" fillId="0" borderId="0" xfId="30"/>
    <xf numFmtId="49" fontId="7" fillId="19" borderId="0" xfId="30" applyNumberFormat="1" applyFont="1" applyFill="1" applyBorder="1"/>
    <xf numFmtId="49" fontId="7" fillId="0" borderId="0" xfId="30" applyNumberFormat="1"/>
    <xf numFmtId="169" fontId="7" fillId="0" borderId="0" xfId="30" applyAlignment="1">
      <alignment horizontal="right"/>
    </xf>
    <xf numFmtId="2" fontId="7" fillId="0" borderId="0" xfId="30" applyNumberFormat="1"/>
    <xf numFmtId="14" fontId="7" fillId="0" borderId="0" xfId="30" applyNumberFormat="1"/>
    <xf numFmtId="169" fontId="42" fillId="11" borderId="26" xfId="0" applyNumberFormat="1" applyFont="1" applyFill="1" applyBorder="1"/>
    <xf numFmtId="169" fontId="42" fillId="11" borderId="6" xfId="0" applyNumberFormat="1" applyFont="1" applyFill="1" applyBorder="1"/>
    <xf numFmtId="169" fontId="42" fillId="13" borderId="21" xfId="0" applyNumberFormat="1" applyFont="1" applyFill="1" applyBorder="1"/>
    <xf numFmtId="169" fontId="73" fillId="14" borderId="67" xfId="18" applyNumberFormat="1" applyFont="1" applyFill="1" applyBorder="1" applyAlignment="1"/>
    <xf numFmtId="49" fontId="16" fillId="0" borderId="0" xfId="18" applyNumberFormat="1" applyFont="1" applyFill="1"/>
    <xf numFmtId="169" fontId="16" fillId="0" borderId="67" xfId="18" applyNumberFormat="1" applyFont="1" applyFill="1" applyBorder="1" applyAlignment="1"/>
    <xf numFmtId="169" fontId="16" fillId="11" borderId="64" xfId="18" applyNumberFormat="1" applyFont="1" applyFill="1" applyBorder="1" applyAlignment="1"/>
    <xf numFmtId="169" fontId="73" fillId="20" borderId="67" xfId="18" applyNumberFormat="1" applyFont="1" applyFill="1" applyBorder="1" applyAlignment="1"/>
    <xf numFmtId="49" fontId="0" fillId="21" borderId="0" xfId="0" applyNumberFormat="1" applyFill="1"/>
    <xf numFmtId="169" fontId="16" fillId="21" borderId="0" xfId="18" applyFont="1" applyFill="1" applyBorder="1"/>
    <xf numFmtId="49" fontId="16" fillId="21" borderId="0" xfId="18" applyNumberFormat="1" applyFont="1" applyFill="1" applyBorder="1"/>
    <xf numFmtId="169" fontId="16" fillId="11" borderId="0" xfId="18" applyFont="1" applyFill="1" applyBorder="1"/>
    <xf numFmtId="169" fontId="15" fillId="11" borderId="67" xfId="18" applyNumberFormat="1" applyFont="1" applyFill="1" applyBorder="1" applyAlignment="1"/>
    <xf numFmtId="169" fontId="73" fillId="18" borderId="67" xfId="18" applyNumberFormat="1" applyFont="1" applyFill="1" applyBorder="1" applyAlignment="1"/>
    <xf numFmtId="169" fontId="16" fillId="13" borderId="0" xfId="18" applyFont="1" applyFill="1" applyBorder="1"/>
    <xf numFmtId="169" fontId="16" fillId="13" borderId="67" xfId="18" applyNumberFormat="1" applyFont="1" applyFill="1" applyBorder="1" applyAlignment="1"/>
    <xf numFmtId="14" fontId="16" fillId="13" borderId="0" xfId="18" applyNumberFormat="1" applyFont="1" applyFill="1" applyBorder="1"/>
    <xf numFmtId="49" fontId="16" fillId="13" borderId="0" xfId="18" applyNumberFormat="1" applyFont="1" applyFill="1" applyBorder="1"/>
    <xf numFmtId="169" fontId="5" fillId="0" borderId="0" xfId="33" applyFont="1" applyFill="1"/>
    <xf numFmtId="169" fontId="8" fillId="23" borderId="0" xfId="36" applyNumberFormat="1" applyFont="1" applyFill="1" applyBorder="1" applyAlignment="1"/>
    <xf numFmtId="169" fontId="72" fillId="3" borderId="0" xfId="34" applyNumberFormat="1" applyFont="1" applyFill="1" applyBorder="1" applyAlignment="1">
      <alignment horizontal="left" vertical="top" wrapText="1"/>
    </xf>
    <xf numFmtId="169" fontId="72" fillId="3" borderId="10" xfId="34" applyNumberFormat="1" applyFont="1" applyFill="1" applyBorder="1" applyAlignment="1">
      <alignment horizontal="left" vertical="top" wrapText="1"/>
    </xf>
    <xf numFmtId="169" fontId="7" fillId="19" borderId="0" xfId="30" applyFont="1" applyFill="1" applyBorder="1"/>
    <xf numFmtId="169" fontId="7" fillId="24" borderId="0" xfId="30" applyFont="1" applyFill="1" applyBorder="1"/>
    <xf numFmtId="14" fontId="5" fillId="0" borderId="0" xfId="33" applyNumberFormat="1" applyFont="1" applyFill="1"/>
    <xf numFmtId="169" fontId="0" fillId="24" borderId="0" xfId="0" applyFill="1"/>
    <xf numFmtId="2" fontId="0" fillId="11" borderId="0" xfId="0" applyNumberFormat="1" applyFill="1"/>
    <xf numFmtId="1" fontId="0" fillId="11" borderId="0" xfId="0" applyNumberFormat="1" applyFill="1"/>
    <xf numFmtId="167" fontId="0" fillId="11" borderId="0" xfId="0" applyNumberFormat="1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169" fontId="0" fillId="11" borderId="0" xfId="0" applyNumberFormat="1" applyFill="1"/>
    <xf numFmtId="169" fontId="0" fillId="0" borderId="0" xfId="0" applyBorder="1"/>
    <xf numFmtId="1" fontId="0" fillId="11" borderId="0" xfId="0" applyNumberFormat="1" applyFill="1" applyBorder="1"/>
    <xf numFmtId="167" fontId="0" fillId="0" borderId="0" xfId="0" applyNumberFormat="1" applyBorder="1"/>
    <xf numFmtId="169" fontId="0" fillId="11" borderId="0" xfId="0" applyNumberFormat="1" applyFill="1" applyBorder="1"/>
    <xf numFmtId="169" fontId="42" fillId="0" borderId="33" xfId="0" applyFont="1" applyBorder="1" applyAlignment="1">
      <alignment horizontal="center"/>
    </xf>
    <xf numFmtId="169" fontId="50" fillId="0" borderId="33" xfId="0" applyFont="1" applyBorder="1" applyAlignment="1">
      <alignment horizontal="center" vertical="center" wrapText="1"/>
    </xf>
    <xf numFmtId="169" fontId="41" fillId="0" borderId="0" xfId="12" applyNumberFormat="1" applyBorder="1"/>
    <xf numFmtId="169" fontId="77" fillId="19" borderId="0" xfId="30" applyFont="1" applyFill="1"/>
    <xf numFmtId="169" fontId="77" fillId="24" borderId="0" xfId="30" applyFont="1" applyFill="1"/>
    <xf numFmtId="49" fontId="77" fillId="19" borderId="0" xfId="30" applyNumberFormat="1" applyFont="1" applyFill="1"/>
    <xf numFmtId="2" fontId="7" fillId="11" borderId="0" xfId="30" applyNumberFormat="1" applyFill="1"/>
    <xf numFmtId="169" fontId="7" fillId="11" borderId="0" xfId="30" applyNumberFormat="1" applyFill="1"/>
    <xf numFmtId="1" fontId="7" fillId="11" borderId="0" xfId="30" applyNumberFormat="1" applyFill="1"/>
    <xf numFmtId="167" fontId="7" fillId="0" borderId="0" xfId="30" applyNumberFormat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69" fontId="72" fillId="3" borderId="0" xfId="34" applyNumberFormat="1" applyFont="1" applyFill="1" applyAlignment="1">
      <alignment horizontal="left" vertical="top" wrapText="1"/>
    </xf>
    <xf numFmtId="14" fontId="7" fillId="0" borderId="0" xfId="30" applyNumberFormat="1" applyAlignment="1">
      <alignment horizontal="center"/>
    </xf>
    <xf numFmtId="169" fontId="41" fillId="0" borderId="0" xfId="12" applyNumberFormat="1" applyAlignment="1" applyProtection="1"/>
    <xf numFmtId="169" fontId="77" fillId="0" borderId="22" xfId="18" applyFont="1" applyFill="1" applyBorder="1"/>
    <xf numFmtId="169" fontId="73" fillId="23" borderId="0" xfId="36" applyNumberFormat="1" applyFont="1" applyFill="1" applyAlignment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4" fontId="7" fillId="0" borderId="0" xfId="30" applyNumberFormat="1" applyAlignment="1">
      <alignment horizontal="center"/>
    </xf>
    <xf numFmtId="169" fontId="43" fillId="0" borderId="0" xfId="0" applyFont="1"/>
    <xf numFmtId="3" fontId="0" fillId="11" borderId="10" xfId="0" applyNumberFormat="1" applyFill="1" applyBorder="1"/>
    <xf numFmtId="169" fontId="16" fillId="15" borderId="67" xfId="18" applyNumberFormat="1" applyFont="1" applyFill="1" applyBorder="1" applyAlignment="1"/>
    <xf numFmtId="169" fontId="7" fillId="15" borderId="69" xfId="18" applyNumberFormat="1" applyFont="1" applyFill="1" applyBorder="1" applyAlignment="1"/>
    <xf numFmtId="169" fontId="7" fillId="15" borderId="70" xfId="18" applyNumberFormat="1" applyFont="1" applyFill="1" applyBorder="1" applyAlignment="1">
      <alignment wrapText="1"/>
    </xf>
    <xf numFmtId="169" fontId="7" fillId="15" borderId="67" xfId="18" applyNumberFormat="1" applyFont="1" applyFill="1" applyBorder="1" applyAlignment="1">
      <alignment wrapText="1"/>
    </xf>
    <xf numFmtId="169" fontId="7" fillId="15" borderId="67" xfId="18" applyNumberFormat="1" applyFont="1" applyFill="1" applyBorder="1" applyAlignment="1"/>
    <xf numFmtId="169" fontId="44" fillId="15" borderId="67" xfId="0" applyNumberFormat="1" applyFont="1" applyFill="1" applyBorder="1"/>
    <xf numFmtId="169" fontId="7" fillId="0" borderId="0" xfId="18" applyNumberFormat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4" fontId="7" fillId="0" borderId="0" xfId="30" applyNumberFormat="1" applyAlignment="1">
      <alignment horizontal="center"/>
    </xf>
    <xf numFmtId="0" fontId="77" fillId="19" borderId="0" xfId="30" applyNumberFormat="1" applyFont="1" applyFill="1"/>
    <xf numFmtId="0" fontId="7" fillId="11" borderId="0" xfId="30" applyNumberFormat="1" applyFill="1"/>
    <xf numFmtId="0" fontId="72" fillId="3" borderId="0" xfId="34" applyNumberFormat="1" applyFont="1" applyFill="1" applyAlignment="1">
      <alignment horizontal="left" vertical="top" wrapText="1"/>
    </xf>
    <xf numFmtId="169" fontId="41" fillId="0" borderId="0" xfId="12" applyAlignment="1" applyProtection="1"/>
    <xf numFmtId="0" fontId="73" fillId="22" borderId="0" xfId="36" applyNumberFormat="1" applyFont="1" applyFill="1" applyAlignment="1"/>
    <xf numFmtId="0" fontId="73" fillId="0" borderId="0" xfId="36" applyNumberFormat="1" applyFont="1" applyFill="1" applyAlignment="1"/>
    <xf numFmtId="0" fontId="73" fillId="23" borderId="0" xfId="36" applyNumberFormat="1" applyFont="1" applyFill="1" applyAlignment="1"/>
    <xf numFmtId="0" fontId="8" fillId="7" borderId="0" xfId="30" applyNumberFormat="1" applyFont="1" applyFill="1" applyAlignment="1">
      <alignment horizontal="center" wrapText="1"/>
    </xf>
    <xf numFmtId="0" fontId="0" fillId="0" borderId="0" xfId="0" applyNumberFormat="1"/>
    <xf numFmtId="0" fontId="7" fillId="19" borderId="0" xfId="30" applyNumberFormat="1" applyFont="1" applyFill="1" applyBorder="1"/>
    <xf numFmtId="0" fontId="7" fillId="0" borderId="0" xfId="30" applyNumberFormat="1"/>
    <xf numFmtId="0" fontId="8" fillId="5" borderId="0" xfId="30" applyNumberFormat="1" applyFont="1" applyFill="1" applyAlignment="1">
      <alignment horizontal="center" wrapText="1"/>
    </xf>
    <xf numFmtId="0" fontId="0" fillId="11" borderId="0" xfId="0" applyNumberFormat="1" applyFill="1"/>
    <xf numFmtId="0" fontId="0" fillId="13" borderId="0" xfId="0" applyNumberFormat="1" applyFill="1"/>
    <xf numFmtId="0" fontId="8" fillId="0" borderId="0" xfId="30" applyNumberFormat="1" applyFont="1" applyAlignment="1">
      <alignment horizontal="center" wrapText="1"/>
    </xf>
    <xf numFmtId="0" fontId="7" fillId="0" borderId="0" xfId="30" applyNumberFormat="1" applyAlignment="1">
      <alignment horizontal="center" wrapText="1"/>
    </xf>
    <xf numFmtId="0" fontId="0" fillId="0" borderId="0" xfId="0" applyNumberFormat="1" applyBorder="1"/>
    <xf numFmtId="0" fontId="0" fillId="11" borderId="26" xfId="0" applyNumberFormat="1" applyFill="1" applyBorder="1"/>
    <xf numFmtId="0" fontId="48" fillId="11" borderId="26" xfId="0" applyNumberFormat="1" applyFont="1" applyFill="1" applyBorder="1"/>
    <xf numFmtId="0" fontId="42" fillId="11" borderId="26" xfId="0" applyNumberFormat="1" applyFont="1" applyFill="1" applyBorder="1"/>
    <xf numFmtId="0" fontId="42" fillId="11" borderId="11" xfId="0" applyNumberFormat="1" applyFont="1" applyFill="1" applyBorder="1"/>
    <xf numFmtId="0" fontId="42" fillId="13" borderId="42" xfId="0" applyNumberFormat="1" applyFont="1" applyFill="1" applyBorder="1"/>
    <xf numFmtId="0" fontId="42" fillId="11" borderId="24" xfId="0" applyNumberFormat="1" applyFont="1" applyFill="1" applyBorder="1"/>
    <xf numFmtId="0" fontId="0" fillId="12" borderId="26" xfId="0" applyNumberFormat="1" applyFill="1" applyBorder="1"/>
    <xf numFmtId="0" fontId="42" fillId="16" borderId="9" xfId="0" applyNumberFormat="1" applyFont="1" applyFill="1" applyBorder="1"/>
    <xf numFmtId="0" fontId="42" fillId="12" borderId="26" xfId="0" applyNumberFormat="1" applyFont="1" applyFill="1" applyBorder="1"/>
    <xf numFmtId="0" fontId="42" fillId="12" borderId="29" xfId="0" applyNumberFormat="1" applyFont="1" applyFill="1" applyBorder="1"/>
    <xf numFmtId="0" fontId="49" fillId="0" borderId="46" xfId="0" applyNumberFormat="1" applyFont="1" applyBorder="1" applyAlignment="1">
      <alignment horizontal="center" vertical="center" wrapText="1"/>
    </xf>
    <xf numFmtId="0" fontId="51" fillId="0" borderId="46" xfId="0" applyNumberFormat="1" applyFont="1" applyBorder="1" applyAlignment="1">
      <alignment horizontal="center" vertical="center" wrapText="1"/>
    </xf>
    <xf numFmtId="0" fontId="50" fillId="0" borderId="46" xfId="0" applyNumberFormat="1" applyFont="1" applyBorder="1" applyAlignment="1">
      <alignment vertical="center" wrapText="1"/>
    </xf>
    <xf numFmtId="0" fontId="57" fillId="0" borderId="25" xfId="0" applyNumberFormat="1" applyFont="1" applyBorder="1" applyAlignment="1">
      <alignment horizontal="center" vertical="center" wrapText="1"/>
    </xf>
    <xf numFmtId="0" fontId="64" fillId="0" borderId="25" xfId="0" applyNumberFormat="1" applyFont="1" applyBorder="1" applyAlignment="1">
      <alignment horizontal="center" vertical="center" wrapText="1"/>
    </xf>
    <xf numFmtId="0" fontId="64" fillId="0" borderId="48" xfId="0" applyNumberFormat="1" applyFont="1" applyBorder="1" applyAlignment="1">
      <alignment horizontal="center" vertical="center" wrapText="1"/>
    </xf>
    <xf numFmtId="0" fontId="65" fillId="0" borderId="33" xfId="0" applyNumberFormat="1" applyFont="1" applyBorder="1" applyAlignment="1">
      <alignment horizontal="center"/>
    </xf>
    <xf numFmtId="0" fontId="65" fillId="0" borderId="32" xfId="0" applyNumberFormat="1" applyFont="1" applyBorder="1" applyAlignment="1">
      <alignment horizontal="center"/>
    </xf>
    <xf numFmtId="0" fontId="65" fillId="0" borderId="19" xfId="0" applyNumberFormat="1" applyFont="1" applyBorder="1" applyAlignment="1">
      <alignment horizontal="center"/>
    </xf>
    <xf numFmtId="0" fontId="7" fillId="0" borderId="10" xfId="37" applyNumberFormat="1" applyBorder="1"/>
    <xf numFmtId="0" fontId="7" fillId="0" borderId="26" xfId="37" applyNumberFormat="1" applyBorder="1"/>
    <xf numFmtId="0" fontId="7" fillId="0" borderId="5" xfId="37" applyNumberFormat="1" applyBorder="1"/>
    <xf numFmtId="0" fontId="7" fillId="0" borderId="6" xfId="37" applyNumberFormat="1" applyBorder="1"/>
    <xf numFmtId="0" fontId="7" fillId="0" borderId="0" xfId="37" applyNumberFormat="1"/>
    <xf numFmtId="0" fontId="7" fillId="0" borderId="0" xfId="18" applyNumberFormat="1"/>
    <xf numFmtId="0" fontId="0" fillId="11" borderId="0" xfId="0" applyNumberFormat="1" applyFill="1" applyBorder="1"/>
    <xf numFmtId="0" fontId="8" fillId="22" borderId="0" xfId="36" applyNumberFormat="1" applyFont="1" applyFill="1" applyBorder="1" applyAlignment="1"/>
    <xf numFmtId="0" fontId="8" fillId="0" borderId="0" xfId="36" applyNumberFormat="1" applyFont="1" applyBorder="1" applyAlignment="1"/>
    <xf numFmtId="0" fontId="0" fillId="11" borderId="37" xfId="0" applyNumberFormat="1" applyFill="1" applyBorder="1"/>
    <xf numFmtId="0" fontId="75" fillId="11" borderId="0" xfId="33" applyNumberFormat="1" applyFont="1" applyFill="1" applyBorder="1"/>
    <xf numFmtId="0" fontId="7" fillId="0" borderId="0" xfId="30" applyNumberFormat="1" applyFill="1"/>
    <xf numFmtId="169" fontId="41" fillId="0" borderId="0" xfId="12" applyAlignment="1">
      <alignment horizontal="center" wrapText="1"/>
    </xf>
    <xf numFmtId="0" fontId="42" fillId="0" borderId="10" xfId="0" applyNumberFormat="1" applyFont="1" applyBorder="1" applyAlignment="1">
      <alignment horizontal="center"/>
    </xf>
    <xf numFmtId="0" fontId="67" fillId="0" borderId="18" xfId="0" applyNumberFormat="1" applyFont="1" applyFill="1" applyBorder="1"/>
    <xf numFmtId="0" fontId="67" fillId="0" borderId="12" xfId="0" applyNumberFormat="1" applyFont="1" applyFill="1" applyBorder="1"/>
    <xf numFmtId="0" fontId="67" fillId="0" borderId="13" xfId="0" applyNumberFormat="1" applyFont="1" applyFill="1" applyBorder="1"/>
    <xf numFmtId="0" fontId="67" fillId="0" borderId="17" xfId="0" applyNumberFormat="1" applyFont="1" applyFill="1" applyBorder="1"/>
    <xf numFmtId="0" fontId="67" fillId="0" borderId="10" xfId="0" applyNumberFormat="1" applyFont="1" applyFill="1" applyBorder="1"/>
    <xf numFmtId="0" fontId="67" fillId="0" borderId="11" xfId="0" applyNumberFormat="1" applyFont="1" applyFill="1" applyBorder="1"/>
    <xf numFmtId="0" fontId="67" fillId="0" borderId="14" xfId="0" applyNumberFormat="1" applyFont="1" applyFill="1" applyBorder="1"/>
    <xf numFmtId="0" fontId="67" fillId="0" borderId="15" xfId="0" applyNumberFormat="1" applyFont="1" applyFill="1" applyBorder="1"/>
    <xf numFmtId="0" fontId="67" fillId="0" borderId="5" xfId="0" applyNumberFormat="1" applyFont="1" applyFill="1" applyBorder="1"/>
    <xf numFmtId="0" fontId="67" fillId="0" borderId="16" xfId="0" applyNumberFormat="1" applyFont="1" applyFill="1" applyBorder="1"/>
    <xf numFmtId="0" fontId="67" fillId="0" borderId="4" xfId="0" applyNumberFormat="1" applyFont="1" applyFill="1" applyBorder="1"/>
    <xf numFmtId="0" fontId="68" fillId="0" borderId="19" xfId="0" applyNumberFormat="1" applyFont="1" applyFill="1" applyBorder="1" applyAlignment="1">
      <alignment horizontal="left"/>
    </xf>
    <xf numFmtId="0" fontId="68" fillId="0" borderId="20" xfId="0" applyNumberFormat="1" applyFont="1" applyFill="1" applyBorder="1" applyAlignment="1">
      <alignment horizontal="left"/>
    </xf>
    <xf numFmtId="0" fontId="68" fillId="0" borderId="21" xfId="0" applyNumberFormat="1" applyFont="1" applyFill="1" applyBorder="1" applyAlignment="1">
      <alignment horizontal="left"/>
    </xf>
    <xf numFmtId="0" fontId="68" fillId="0" borderId="20" xfId="0" applyNumberFormat="1" applyFont="1" applyFill="1" applyBorder="1" applyAlignment="1">
      <alignment horizontal="center"/>
    </xf>
    <xf numFmtId="0" fontId="68" fillId="0" borderId="36" xfId="0" applyNumberFormat="1" applyFont="1" applyFill="1" applyBorder="1" applyAlignment="1">
      <alignment horizontal="center"/>
    </xf>
    <xf numFmtId="0" fontId="67" fillId="0" borderId="19" xfId="0" applyNumberFormat="1" applyFont="1" applyFill="1" applyBorder="1"/>
    <xf numFmtId="0" fontId="67" fillId="0" borderId="20" xfId="0" applyNumberFormat="1" applyFont="1" applyFill="1" applyBorder="1"/>
    <xf numFmtId="0" fontId="67" fillId="0" borderId="36" xfId="0" applyNumberFormat="1" applyFont="1" applyFill="1" applyBorder="1"/>
    <xf numFmtId="0" fontId="67" fillId="0" borderId="32" xfId="0" applyNumberFormat="1" applyFont="1" applyFill="1" applyBorder="1"/>
    <xf numFmtId="0" fontId="68" fillId="0" borderId="74" xfId="0" applyNumberFormat="1" applyFont="1" applyFill="1" applyBorder="1"/>
    <xf numFmtId="0" fontId="69" fillId="0" borderId="73" xfId="0" applyNumberFormat="1" applyFont="1" applyFill="1" applyBorder="1"/>
    <xf numFmtId="0" fontId="69" fillId="0" borderId="75" xfId="0" applyNumberFormat="1" applyFont="1" applyFill="1" applyBorder="1"/>
    <xf numFmtId="0" fontId="69" fillId="0" borderId="74" xfId="0" applyNumberFormat="1" applyFont="1" applyFill="1" applyBorder="1"/>
    <xf numFmtId="0" fontId="68" fillId="0" borderId="73" xfId="0" applyNumberFormat="1" applyFont="1" applyFill="1" applyBorder="1" applyAlignment="1">
      <alignment horizontal="center"/>
    </xf>
    <xf numFmtId="0" fontId="68" fillId="0" borderId="72" xfId="0" applyNumberFormat="1" applyFont="1" applyFill="1" applyBorder="1" applyAlignment="1">
      <alignment horizontal="center"/>
    </xf>
    <xf numFmtId="0" fontId="68" fillId="0" borderId="73" xfId="0" applyNumberFormat="1" applyFont="1" applyFill="1" applyBorder="1"/>
    <xf numFmtId="0" fontId="68" fillId="0" borderId="72" xfId="0" applyNumberFormat="1" applyFont="1" applyFill="1" applyBorder="1"/>
    <xf numFmtId="0" fontId="74" fillId="0" borderId="0" xfId="35" applyNumberFormat="1"/>
    <xf numFmtId="0" fontId="74" fillId="0" borderId="0" xfId="35" applyNumberFormat="1" applyAlignment="1">
      <alignment horizontal="center"/>
    </xf>
    <xf numFmtId="0" fontId="8" fillId="22" borderId="10" xfId="36" applyNumberFormat="1" applyFont="1" applyFill="1" applyBorder="1" applyAlignment="1"/>
    <xf numFmtId="0" fontId="8" fillId="0" borderId="10" xfId="36" applyNumberFormat="1" applyFont="1" applyBorder="1" applyAlignment="1"/>
    <xf numFmtId="0" fontId="8" fillId="23" borderId="10" xfId="36" applyNumberFormat="1" applyFont="1" applyFill="1" applyBorder="1" applyAlignment="1"/>
    <xf numFmtId="0" fontId="73" fillId="0" borderId="10" xfId="36" applyNumberFormat="1" applyFont="1" applyFill="1" applyBorder="1" applyAlignment="1">
      <alignment horizontal="left"/>
    </xf>
    <xf numFmtId="0" fontId="74" fillId="24" borderId="0" xfId="35" applyNumberFormat="1" applyFill="1"/>
    <xf numFmtId="0" fontId="74" fillId="11" borderId="0" xfId="35" applyNumberFormat="1" applyFill="1"/>
    <xf numFmtId="0" fontId="5" fillId="0" borderId="0" xfId="33" applyNumberFormat="1" applyFont="1" applyFill="1"/>
    <xf numFmtId="0" fontId="8" fillId="23" borderId="0" xfId="36" applyNumberFormat="1" applyFont="1" applyFill="1" applyBorder="1" applyAlignment="1"/>
    <xf numFmtId="0" fontId="74" fillId="11" borderId="37" xfId="35" applyNumberFormat="1" applyFill="1" applyBorder="1"/>
    <xf numFmtId="0" fontId="72" fillId="3" borderId="0" xfId="34" applyNumberFormat="1" applyFont="1" applyFill="1" applyBorder="1" applyAlignment="1">
      <alignment horizontal="left" vertical="top" wrapText="1"/>
    </xf>
    <xf numFmtId="0" fontId="72" fillId="3" borderId="10" xfId="34" applyNumberFormat="1" applyFont="1" applyFill="1" applyBorder="1" applyAlignment="1">
      <alignment horizontal="left" vertical="top" wrapText="1"/>
    </xf>
    <xf numFmtId="0" fontId="74" fillId="0" borderId="0" xfId="35" applyNumberFormat="1" applyBorder="1"/>
    <xf numFmtId="0" fontId="74" fillId="13" borderId="0" xfId="35" applyNumberFormat="1" applyFill="1"/>
    <xf numFmtId="0" fontId="7" fillId="24" borderId="0" xfId="30" applyNumberFormat="1" applyFont="1" applyFill="1" applyBorder="1"/>
    <xf numFmtId="0" fontId="74" fillId="11" borderId="0" xfId="35" applyNumberFormat="1" applyFill="1" applyBorder="1"/>
    <xf numFmtId="0" fontId="76" fillId="0" borderId="0" xfId="35" applyNumberFormat="1" applyFont="1"/>
    <xf numFmtId="0" fontId="48" fillId="11" borderId="11" xfId="0" applyNumberFormat="1" applyFont="1" applyFill="1" applyBorder="1"/>
    <xf numFmtId="0" fontId="0" fillId="0" borderId="11" xfId="0" applyNumberFormat="1" applyFont="1" applyBorder="1"/>
    <xf numFmtId="0" fontId="0" fillId="11" borderId="11" xfId="0" applyNumberFormat="1" applyFill="1" applyBorder="1"/>
    <xf numFmtId="0" fontId="0" fillId="0" borderId="0" xfId="0" applyNumberFormat="1" applyFill="1"/>
    <xf numFmtId="0" fontId="0" fillId="0" borderId="14" xfId="0" applyNumberFormat="1" applyFill="1" applyBorder="1"/>
    <xf numFmtId="0" fontId="0" fillId="0" borderId="35" xfId="0" applyNumberFormat="1" applyFill="1" applyBorder="1"/>
    <xf numFmtId="3" fontId="48" fillId="11" borderId="26" xfId="0" applyNumberFormat="1" applyFont="1" applyFill="1" applyBorder="1"/>
    <xf numFmtId="3" fontId="0" fillId="11" borderId="26" xfId="0" applyNumberFormat="1" applyFill="1" applyBorder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4" fontId="7" fillId="0" borderId="0" xfId="30" applyNumberFormat="1" applyAlignment="1">
      <alignment horizontal="center"/>
    </xf>
    <xf numFmtId="0" fontId="51" fillId="0" borderId="0" xfId="38" applyFont="1" applyAlignment="1"/>
    <xf numFmtId="0" fontId="74" fillId="0" borderId="0" xfId="38"/>
    <xf numFmtId="0" fontId="51" fillId="0" borderId="10" xfId="39" applyFont="1" applyBorder="1" applyAlignment="1">
      <alignment horizontal="center" vertical="center" wrapText="1" shrinkToFit="1"/>
    </xf>
    <xf numFmtId="4" fontId="79" fillId="0" borderId="10" xfId="39" applyNumberFormat="1" applyFont="1" applyBorder="1" applyAlignment="1">
      <alignment horizontal="center" vertical="center" wrapText="1" shrinkToFit="1"/>
    </xf>
    <xf numFmtId="4" fontId="50" fillId="0" borderId="10" xfId="39" applyNumberFormat="1" applyFont="1" applyBorder="1" applyAlignment="1">
      <alignment horizontal="center" vertical="center" wrapText="1" shrinkToFit="1"/>
    </xf>
    <xf numFmtId="4" fontId="50" fillId="25" borderId="10" xfId="39" applyNumberFormat="1" applyFont="1" applyFill="1" applyBorder="1" applyAlignment="1">
      <alignment horizontal="center" vertical="center" wrapText="1" shrinkToFit="1"/>
    </xf>
    <xf numFmtId="4" fontId="80" fillId="0" borderId="10" xfId="39" applyNumberFormat="1" applyFont="1" applyBorder="1" applyAlignment="1">
      <alignment horizontal="center" vertical="center" wrapText="1" shrinkToFit="1"/>
    </xf>
    <xf numFmtId="0" fontId="79" fillId="0" borderId="10" xfId="39" applyFont="1" applyBorder="1" applyAlignment="1">
      <alignment horizontal="center" vertical="center" wrapText="1" shrinkToFit="1"/>
    </xf>
    <xf numFmtId="0" fontId="50" fillId="0" borderId="10" xfId="39" applyFont="1" applyBorder="1" applyAlignment="1">
      <alignment horizontal="center" vertical="center" wrapText="1" shrinkToFit="1"/>
    </xf>
    <xf numFmtId="2" fontId="50" fillId="25" borderId="10" xfId="39" applyNumberFormat="1" applyFont="1" applyFill="1" applyBorder="1" applyAlignment="1">
      <alignment horizontal="center" vertical="center" wrapText="1" shrinkToFit="1"/>
    </xf>
    <xf numFmtId="2" fontId="80" fillId="0" borderId="10" xfId="39" applyNumberFormat="1" applyFont="1" applyBorder="1" applyAlignment="1">
      <alignment horizontal="center" vertical="center" wrapText="1" shrinkToFit="1"/>
    </xf>
    <xf numFmtId="0" fontId="50" fillId="0" borderId="43" xfId="38" applyFont="1" applyBorder="1" applyAlignment="1">
      <alignment horizontal="center"/>
    </xf>
    <xf numFmtId="0" fontId="80" fillId="0" borderId="61" xfId="38" applyFont="1" applyBorder="1" applyAlignment="1">
      <alignment horizontal="center"/>
    </xf>
    <xf numFmtId="0" fontId="50" fillId="0" borderId="0" xfId="38" applyFont="1" applyAlignment="1">
      <alignment horizontal="center"/>
    </xf>
    <xf numFmtId="0" fontId="51" fillId="0" borderId="10" xfId="38" applyFont="1" applyBorder="1" applyAlignment="1">
      <alignment horizontal="center" vertical="center" wrapText="1"/>
    </xf>
    <xf numFmtId="2" fontId="82" fillId="0" borderId="10" xfId="38" applyNumberFormat="1" applyFont="1" applyBorder="1" applyAlignment="1">
      <alignment horizontal="center" vertical="center" wrapText="1"/>
    </xf>
    <xf numFmtId="2" fontId="84" fillId="0" borderId="10" xfId="38" applyNumberFormat="1" applyFont="1" applyBorder="1" applyAlignment="1">
      <alignment horizontal="center" vertical="center" wrapText="1"/>
    </xf>
    <xf numFmtId="0" fontId="16" fillId="0" borderId="10" xfId="38" applyFont="1" applyBorder="1" applyAlignment="1">
      <alignment horizontal="center" vertical="center" wrapText="1"/>
    </xf>
    <xf numFmtId="0" fontId="50" fillId="0" borderId="10" xfId="38" applyFont="1" applyBorder="1" applyAlignment="1">
      <alignment horizontal="center"/>
    </xf>
    <xf numFmtId="171" fontId="50" fillId="25" borderId="10" xfId="38" applyNumberFormat="1" applyFont="1" applyFill="1" applyBorder="1" applyAlignment="1">
      <alignment horizontal="center"/>
    </xf>
    <xf numFmtId="4" fontId="50" fillId="25" borderId="10" xfId="38" applyNumberFormat="1" applyFont="1" applyFill="1" applyBorder="1" applyAlignment="1">
      <alignment horizontal="center"/>
    </xf>
    <xf numFmtId="2" fontId="79" fillId="0" borderId="10" xfId="38" applyNumberFormat="1" applyFont="1" applyBorder="1" applyAlignment="1">
      <alignment horizontal="center"/>
    </xf>
    <xf numFmtId="2" fontId="82" fillId="0" borderId="10" xfId="38" applyNumberFormat="1" applyFont="1" applyFill="1" applyBorder="1" applyAlignment="1">
      <alignment horizontal="center"/>
    </xf>
    <xf numFmtId="49" fontId="50" fillId="0" borderId="10" xfId="39" applyNumberFormat="1" applyFont="1" applyBorder="1" applyAlignment="1">
      <alignment horizontal="center" vertical="center" wrapText="1" shrinkToFit="1"/>
    </xf>
    <xf numFmtId="4" fontId="16" fillId="0" borderId="9" xfId="38" applyNumberFormat="1" applyFont="1" applyBorder="1" applyAlignment="1">
      <alignment horizontal="center" vertical="center" wrapText="1"/>
    </xf>
    <xf numFmtId="2" fontId="82" fillId="0" borderId="9" xfId="38" applyNumberFormat="1" applyFont="1" applyBorder="1" applyAlignment="1">
      <alignment horizontal="center" vertical="center" wrapText="1"/>
    </xf>
    <xf numFmtId="2" fontId="79" fillId="0" borderId="10" xfId="38" applyNumberFormat="1" applyFont="1" applyFill="1" applyBorder="1" applyAlignment="1">
      <alignment horizontal="center"/>
    </xf>
    <xf numFmtId="0" fontId="57" fillId="0" borderId="10" xfId="39" applyFont="1" applyBorder="1" applyAlignment="1">
      <alignment horizontal="center" vertical="center" wrapText="1" shrinkToFit="1"/>
    </xf>
    <xf numFmtId="4" fontId="87" fillId="0" borderId="10" xfId="39" applyNumberFormat="1" applyFont="1" applyBorder="1" applyAlignment="1">
      <alignment horizontal="center" vertical="center" wrapText="1" shrinkToFit="1"/>
    </xf>
    <xf numFmtId="49" fontId="88" fillId="0" borderId="10" xfId="39" applyNumberFormat="1" applyFont="1" applyBorder="1" applyAlignment="1">
      <alignment horizontal="center" vertical="center" wrapText="1" shrinkToFit="1"/>
    </xf>
    <xf numFmtId="4" fontId="88" fillId="0" borderId="10" xfId="39" applyNumberFormat="1" applyFont="1" applyBorder="1" applyAlignment="1">
      <alignment horizontal="center" vertical="center" wrapText="1" shrinkToFit="1"/>
    </xf>
    <xf numFmtId="4" fontId="88" fillId="25" borderId="10" xfId="39" applyNumberFormat="1" applyFont="1" applyFill="1" applyBorder="1" applyAlignment="1">
      <alignment horizontal="center" vertical="center" wrapText="1" shrinkToFit="1"/>
    </xf>
    <xf numFmtId="4" fontId="89" fillId="0" borderId="10" xfId="39" applyNumberFormat="1" applyFont="1" applyBorder="1" applyAlignment="1">
      <alignment horizontal="center" vertical="center" wrapText="1" shrinkToFit="1"/>
    </xf>
    <xf numFmtId="49" fontId="87" fillId="0" borderId="10" xfId="39" applyNumberFormat="1" applyFont="1" applyBorder="1" applyAlignment="1">
      <alignment horizontal="center" vertical="center" wrapText="1" shrinkToFit="1"/>
    </xf>
    <xf numFmtId="0" fontId="87" fillId="0" borderId="10" xfId="39" applyFont="1" applyBorder="1" applyAlignment="1">
      <alignment horizontal="center" vertical="center" wrapText="1" shrinkToFit="1"/>
    </xf>
    <xf numFmtId="0" fontId="88" fillId="0" borderId="10" xfId="39" applyFont="1" applyBorder="1" applyAlignment="1">
      <alignment horizontal="center" vertical="center" wrapText="1" shrinkToFit="1"/>
    </xf>
    <xf numFmtId="2" fontId="88" fillId="25" borderId="10" xfId="39" applyNumberFormat="1" applyFont="1" applyFill="1" applyBorder="1" applyAlignment="1">
      <alignment horizontal="center" vertical="center" wrapText="1" shrinkToFit="1"/>
    </xf>
    <xf numFmtId="2" fontId="87" fillId="0" borderId="10" xfId="39" applyNumberFormat="1" applyFont="1" applyBorder="1" applyAlignment="1">
      <alignment horizontal="center" vertical="center" wrapText="1" shrinkToFit="1"/>
    </xf>
    <xf numFmtId="2" fontId="89" fillId="0" borderId="10" xfId="39" applyNumberFormat="1" applyFont="1" applyBorder="1" applyAlignment="1">
      <alignment horizontal="center" vertical="center" wrapText="1" shrinkToFit="1"/>
    </xf>
    <xf numFmtId="0" fontId="47" fillId="0" borderId="0" xfId="38" applyFont="1" applyAlignment="1">
      <alignment horizontal="center"/>
    </xf>
    <xf numFmtId="0" fontId="51" fillId="0" borderId="0" xfId="38" applyFont="1" applyAlignment="1">
      <alignment horizontal="center"/>
    </xf>
    <xf numFmtId="0" fontId="50" fillId="0" borderId="0" xfId="38" applyFont="1" applyAlignment="1"/>
    <xf numFmtId="0" fontId="74" fillId="0" borderId="0" xfId="38" applyAlignment="1"/>
    <xf numFmtId="0" fontId="80" fillId="0" borderId="61" xfId="38" applyFont="1" applyBorder="1" applyAlignment="1">
      <alignment horizontal="center"/>
    </xf>
    <xf numFmtId="0" fontId="80" fillId="0" borderId="42" xfId="38" applyFont="1" applyBorder="1" applyAlignment="1">
      <alignment horizontal="center"/>
    </xf>
    <xf numFmtId="0" fontId="82" fillId="0" borderId="10" xfId="38" applyFont="1" applyBorder="1" applyAlignment="1">
      <alignment horizontal="center" vertical="center"/>
    </xf>
    <xf numFmtId="0" fontId="51" fillId="0" borderId="0" xfId="38" applyFont="1" applyAlignment="1"/>
    <xf numFmtId="0" fontId="79" fillId="0" borderId="10" xfId="38" applyFont="1" applyBorder="1" applyAlignment="1">
      <alignment horizontal="center"/>
    </xf>
    <xf numFmtId="0" fontId="79" fillId="0" borderId="10" xfId="38" applyFont="1" applyBorder="1" applyAlignment="1"/>
    <xf numFmtId="0" fontId="74" fillId="0" borderId="10" xfId="38" applyBorder="1" applyAlignment="1"/>
    <xf numFmtId="0" fontId="50" fillId="0" borderId="10" xfId="38" applyFont="1" applyBorder="1" applyAlignment="1"/>
    <xf numFmtId="0" fontId="82" fillId="0" borderId="8" xfId="38" applyFont="1" applyBorder="1" applyAlignment="1">
      <alignment horizontal="center" vertical="center"/>
    </xf>
    <xf numFmtId="0" fontId="50" fillId="0" borderId="10" xfId="38" applyFont="1" applyBorder="1" applyAlignment="1">
      <alignment horizontal="center"/>
    </xf>
    <xf numFmtId="0" fontId="74" fillId="0" borderId="10" xfId="38" applyBorder="1" applyAlignment="1">
      <alignment horizontal="center"/>
    </xf>
    <xf numFmtId="172" fontId="0" fillId="11" borderId="10" xfId="0" applyNumberFormat="1" applyFill="1" applyBorder="1"/>
    <xf numFmtId="172" fontId="61" fillId="0" borderId="17" xfId="0" applyNumberFormat="1" applyFont="1" applyBorder="1"/>
    <xf numFmtId="172" fontId="62" fillId="0" borderId="17" xfId="0" applyNumberFormat="1" applyFont="1" applyBorder="1"/>
    <xf numFmtId="172" fontId="62" fillId="0" borderId="4" xfId="0" applyNumberFormat="1" applyFont="1" applyBorder="1"/>
    <xf numFmtId="172" fontId="0" fillId="0" borderId="17" xfId="0" applyNumberFormat="1" applyBorder="1"/>
    <xf numFmtId="172" fontId="0" fillId="0" borderId="4" xfId="0" applyNumberFormat="1" applyBorder="1"/>
    <xf numFmtId="0" fontId="51" fillId="0" borderId="10" xfId="38" applyFont="1" applyBorder="1" applyAlignment="1">
      <alignment horizontal="center" vertical="center"/>
    </xf>
    <xf numFmtId="0" fontId="82" fillId="0" borderId="8" xfId="38" applyFont="1" applyBorder="1" applyAlignment="1">
      <alignment vertical="center"/>
    </xf>
    <xf numFmtId="0" fontId="16" fillId="0" borderId="6" xfId="38" applyFont="1" applyBorder="1" applyAlignment="1">
      <alignment horizontal="center" vertical="center"/>
    </xf>
    <xf numFmtId="4" fontId="16" fillId="0" borderId="6" xfId="38" applyNumberFormat="1" applyFont="1" applyBorder="1" applyAlignment="1">
      <alignment horizontal="center" vertical="center"/>
    </xf>
    <xf numFmtId="2" fontId="82" fillId="0" borderId="6" xfId="38" applyNumberFormat="1" applyFont="1" applyBorder="1" applyAlignment="1">
      <alignment horizontal="center" vertical="center"/>
    </xf>
    <xf numFmtId="2" fontId="82" fillId="0" borderId="10" xfId="38" applyNumberFormat="1" applyFont="1" applyBorder="1" applyAlignment="1">
      <alignment horizontal="center" vertical="center"/>
    </xf>
    <xf numFmtId="0" fontId="82" fillId="0" borderId="10" xfId="38" applyFont="1" applyBorder="1" applyAlignment="1">
      <alignment vertical="center"/>
    </xf>
    <xf numFmtId="0" fontId="16" fillId="0" borderId="9" xfId="38" applyFont="1" applyBorder="1" applyAlignment="1">
      <alignment horizontal="center" vertical="center"/>
    </xf>
    <xf numFmtId="2" fontId="82" fillId="0" borderId="9" xfId="38" applyNumberFormat="1" applyFont="1" applyBorder="1" applyAlignment="1">
      <alignment horizontal="center" vertical="center"/>
    </xf>
    <xf numFmtId="0" fontId="84" fillId="0" borderId="26" xfId="38" applyFont="1" applyBorder="1" applyAlignment="1">
      <alignment vertical="center"/>
    </xf>
    <xf numFmtId="0" fontId="85" fillId="0" borderId="42" xfId="38" applyFont="1" applyBorder="1" applyAlignment="1">
      <alignment vertical="center"/>
    </xf>
    <xf numFmtId="2" fontId="84" fillId="0" borderId="10" xfId="38" applyNumberFormat="1" applyFont="1" applyBorder="1" applyAlignment="1">
      <alignment horizontal="center" vertical="center"/>
    </xf>
    <xf numFmtId="0" fontId="16" fillId="0" borderId="10" xfId="38" applyFont="1" applyBorder="1" applyAlignment="1">
      <alignment horizontal="center" vertical="center"/>
    </xf>
    <xf numFmtId="0" fontId="51" fillId="0" borderId="0" xfId="38" applyFont="1" applyAlignment="1">
      <alignment horizontal="center"/>
    </xf>
    <xf numFmtId="0" fontId="51" fillId="0" borderId="0" xfId="38" applyFont="1" applyAlignment="1"/>
    <xf numFmtId="0" fontId="74" fillId="0" borderId="0" xfId="38" applyAlignment="1"/>
    <xf numFmtId="0" fontId="79" fillId="0" borderId="10" xfId="38" applyFont="1" applyBorder="1" applyAlignment="1">
      <alignment horizontal="center"/>
    </xf>
    <xf numFmtId="0" fontId="47" fillId="0" borderId="0" xfId="38" applyFont="1" applyAlignment="1">
      <alignment horizontal="center"/>
    </xf>
    <xf numFmtId="0" fontId="50" fillId="0" borderId="0" xfId="38" applyFont="1" applyAlignment="1"/>
    <xf numFmtId="0" fontId="80" fillId="0" borderId="61" xfId="38" applyFont="1" applyBorder="1" applyAlignment="1">
      <alignment horizontal="center"/>
    </xf>
    <xf numFmtId="0" fontId="80" fillId="0" borderId="42" xfId="38" applyFont="1" applyBorder="1" applyAlignment="1">
      <alignment horizontal="center"/>
    </xf>
    <xf numFmtId="0" fontId="51" fillId="0" borderId="10" xfId="38" applyFont="1" applyBorder="1" applyAlignment="1">
      <alignment horizontal="center" vertical="center" wrapText="1"/>
    </xf>
    <xf numFmtId="0" fontId="82" fillId="0" borderId="10" xfId="38" applyFont="1" applyBorder="1" applyAlignment="1">
      <alignment horizontal="center" vertical="center"/>
    </xf>
    <xf numFmtId="0" fontId="82" fillId="0" borderId="10" xfId="38" applyFont="1" applyBorder="1" applyAlignment="1">
      <alignment vertical="center" wrapText="1"/>
    </xf>
    <xf numFmtId="0" fontId="84" fillId="0" borderId="26" xfId="38" applyFont="1" applyBorder="1" applyAlignment="1">
      <alignment vertical="center" wrapText="1"/>
    </xf>
    <xf numFmtId="0" fontId="85" fillId="0" borderId="42" xfId="38" applyFont="1" applyBorder="1" applyAlignment="1">
      <alignment vertical="center" wrapText="1"/>
    </xf>
    <xf numFmtId="0" fontId="7" fillId="0" borderId="7" xfId="37" applyNumberFormat="1" applyBorder="1" applyAlignment="1">
      <alignment horizontal="center" wrapText="1"/>
    </xf>
    <xf numFmtId="0" fontId="7" fillId="0" borderId="8" xfId="37" applyNumberFormat="1" applyBorder="1" applyAlignment="1">
      <alignment horizontal="center" wrapText="1"/>
    </xf>
    <xf numFmtId="0" fontId="7" fillId="0" borderId="8" xfId="37" applyNumberFormat="1" applyBorder="1" applyAlignment="1">
      <alignment horizontal="center"/>
    </xf>
    <xf numFmtId="0" fontId="7" fillId="0" borderId="9" xfId="37" applyNumberFormat="1" applyBorder="1" applyAlignment="1">
      <alignment horizontal="center" wrapText="1"/>
    </xf>
    <xf numFmtId="0" fontId="7" fillId="0" borderId="0" xfId="37" applyNumberFormat="1" applyAlignment="1">
      <alignment wrapText="1"/>
    </xf>
    <xf numFmtId="0" fontId="7" fillId="0" borderId="10" xfId="37" applyNumberFormat="1" applyBorder="1" applyAlignment="1">
      <alignment wrapText="1"/>
    </xf>
    <xf numFmtId="0" fontId="7" fillId="0" borderId="5" xfId="37" applyNumberFormat="1" applyBorder="1" applyAlignment="1">
      <alignment wrapText="1"/>
    </xf>
    <xf numFmtId="4" fontId="80" fillId="0" borderId="10" xfId="39" applyNumberFormat="1" applyFont="1" applyBorder="1" applyAlignment="1">
      <alignment horizontal="center" vertical="center" wrapText="1" shrinkToFit="1"/>
    </xf>
    <xf numFmtId="4" fontId="81" fillId="0" borderId="10" xfId="39" applyNumberFormat="1" applyFont="1" applyBorder="1" applyAlignment="1">
      <alignment horizontal="center" vertical="center" wrapText="1" shrinkToFit="1"/>
    </xf>
    <xf numFmtId="0" fontId="51" fillId="0" borderId="10" xfId="39" applyFont="1" applyBorder="1" applyAlignment="1">
      <alignment horizontal="center" vertical="center" wrapText="1" shrinkToFit="1"/>
    </xf>
    <xf numFmtId="4" fontId="79" fillId="0" borderId="10" xfId="39" applyNumberFormat="1" applyFont="1" applyBorder="1" applyAlignment="1">
      <alignment horizontal="center" vertical="center" wrapText="1" shrinkToFit="1"/>
    </xf>
    <xf numFmtId="4" fontId="50" fillId="0" borderId="10" xfId="39" applyNumberFormat="1" applyFont="1" applyBorder="1" applyAlignment="1">
      <alignment horizontal="center" vertical="center" wrapText="1" shrinkToFit="1"/>
    </xf>
    <xf numFmtId="0" fontId="47" fillId="0" borderId="0" xfId="38" applyFont="1" applyAlignment="1">
      <alignment horizontal="center"/>
    </xf>
    <xf numFmtId="0" fontId="51" fillId="0" borderId="0" xfId="38" applyFont="1" applyAlignment="1">
      <alignment horizontal="center"/>
    </xf>
    <xf numFmtId="0" fontId="50" fillId="0" borderId="0" xfId="38" applyFont="1" applyAlignment="1"/>
    <xf numFmtId="0" fontId="74" fillId="0" borderId="0" xfId="38" applyAlignment="1"/>
    <xf numFmtId="0" fontId="80" fillId="0" borderId="61" xfId="38" applyFont="1" applyBorder="1" applyAlignment="1">
      <alignment horizontal="center"/>
    </xf>
    <xf numFmtId="0" fontId="80" fillId="0" borderId="42" xfId="38" applyFont="1" applyBorder="1" applyAlignment="1">
      <alignment horizontal="center"/>
    </xf>
    <xf numFmtId="0" fontId="51" fillId="0" borderId="10" xfId="38" applyFont="1" applyBorder="1" applyAlignment="1">
      <alignment horizontal="center" vertical="center" wrapText="1"/>
    </xf>
    <xf numFmtId="0" fontId="82" fillId="0" borderId="10" xfId="38" applyFont="1" applyBorder="1" applyAlignment="1">
      <alignment horizontal="center" vertical="center"/>
    </xf>
    <xf numFmtId="0" fontId="83" fillId="0" borderId="10" xfId="38" applyFont="1" applyBorder="1" applyAlignment="1">
      <alignment horizontal="center" vertical="center"/>
    </xf>
    <xf numFmtId="0" fontId="82" fillId="0" borderId="10" xfId="38" applyFont="1" applyBorder="1" applyAlignment="1">
      <alignment vertical="center" wrapText="1"/>
    </xf>
    <xf numFmtId="0" fontId="84" fillId="0" borderId="26" xfId="38" applyFont="1" applyBorder="1" applyAlignment="1">
      <alignment vertical="center" wrapText="1"/>
    </xf>
    <xf numFmtId="0" fontId="85" fillId="0" borderId="42" xfId="38" applyFont="1" applyBorder="1" applyAlignment="1">
      <alignment vertical="center" wrapText="1"/>
    </xf>
    <xf numFmtId="49" fontId="50" fillId="0" borderId="10" xfId="38" applyNumberFormat="1" applyFont="1" applyBorder="1" applyAlignment="1">
      <alignment horizontal="center"/>
    </xf>
    <xf numFmtId="49" fontId="74" fillId="0" borderId="10" xfId="38" applyNumberFormat="1" applyBorder="1" applyAlignment="1">
      <alignment horizontal="center"/>
    </xf>
    <xf numFmtId="4" fontId="50" fillId="0" borderId="10" xfId="38" applyNumberFormat="1" applyFont="1" applyBorder="1" applyAlignment="1">
      <alignment horizontal="center" vertical="center" wrapText="1" shrinkToFit="1"/>
    </xf>
    <xf numFmtId="0" fontId="50" fillId="0" borderId="10" xfId="38" applyFont="1" applyBorder="1" applyAlignment="1">
      <alignment horizontal="center" vertical="center" wrapText="1" shrinkToFit="1"/>
    </xf>
    <xf numFmtId="0" fontId="51" fillId="0" borderId="0" xfId="38" applyFont="1" applyAlignment="1"/>
    <xf numFmtId="0" fontId="79" fillId="0" borderId="10" xfId="38" applyFont="1" applyBorder="1" applyAlignment="1">
      <alignment horizontal="center"/>
    </xf>
    <xf numFmtId="0" fontId="86" fillId="0" borderId="10" xfId="38" applyFont="1" applyBorder="1" applyAlignment="1">
      <alignment horizontal="center"/>
    </xf>
    <xf numFmtId="0" fontId="79" fillId="0" borderId="10" xfId="38" applyFont="1" applyBorder="1" applyAlignment="1"/>
    <xf numFmtId="0" fontId="74" fillId="0" borderId="10" xfId="38" applyBorder="1" applyAlignment="1"/>
    <xf numFmtId="0" fontId="87" fillId="0" borderId="10" xfId="39" applyFont="1" applyBorder="1" applyAlignment="1">
      <alignment horizontal="center" vertical="center" wrapText="1" shrinkToFit="1"/>
    </xf>
    <xf numFmtId="0" fontId="57" fillId="0" borderId="10" xfId="39" applyFont="1" applyBorder="1" applyAlignment="1">
      <alignment horizontal="center" vertical="center" wrapText="1" shrinkToFit="1"/>
    </xf>
    <xf numFmtId="4" fontId="87" fillId="0" borderId="10" xfId="39" applyNumberFormat="1" applyFont="1" applyBorder="1" applyAlignment="1">
      <alignment horizontal="center" vertical="center" wrapText="1" shrinkToFit="1"/>
    </xf>
    <xf numFmtId="4" fontId="88" fillId="0" borderId="10" xfId="39" applyNumberFormat="1" applyFont="1" applyBorder="1" applyAlignment="1">
      <alignment horizontal="center" vertical="center" wrapText="1" shrinkToFit="1"/>
    </xf>
    <xf numFmtId="4" fontId="89" fillId="0" borderId="10" xfId="39" applyNumberFormat="1" applyFont="1" applyBorder="1" applyAlignment="1">
      <alignment horizontal="center" vertical="center" wrapText="1" shrinkToFit="1"/>
    </xf>
    <xf numFmtId="4" fontId="90" fillId="0" borderId="10" xfId="39" applyNumberFormat="1" applyFont="1" applyBorder="1" applyAlignment="1">
      <alignment horizontal="center" vertical="center" wrapText="1" shrinkToFit="1"/>
    </xf>
    <xf numFmtId="0" fontId="89" fillId="0" borderId="10" xfId="39" applyFont="1" applyBorder="1" applyAlignment="1">
      <alignment horizontal="center" vertical="center" wrapText="1" shrinkToFit="1"/>
    </xf>
    <xf numFmtId="0" fontId="90" fillId="0" borderId="10" xfId="39" applyFont="1" applyBorder="1" applyAlignment="1">
      <alignment horizontal="center" vertical="center" wrapText="1" shrinkToFit="1"/>
    </xf>
    <xf numFmtId="0" fontId="50" fillId="0" borderId="10" xfId="38" applyFont="1" applyBorder="1" applyAlignment="1"/>
    <xf numFmtId="49" fontId="79" fillId="0" borderId="10" xfId="38" applyNumberFormat="1" applyFont="1" applyBorder="1" applyAlignment="1">
      <alignment horizontal="center"/>
    </xf>
    <xf numFmtId="49" fontId="86" fillId="0" borderId="10" xfId="38" applyNumberFormat="1" applyFont="1" applyBorder="1" applyAlignment="1">
      <alignment horizontal="center"/>
    </xf>
    <xf numFmtId="0" fontId="80" fillId="0" borderId="10" xfId="39" applyFont="1" applyBorder="1" applyAlignment="1">
      <alignment horizontal="center" vertical="center" wrapText="1" shrinkToFit="1"/>
    </xf>
    <xf numFmtId="0" fontId="81" fillId="0" borderId="10" xfId="39" applyFont="1" applyBorder="1" applyAlignment="1">
      <alignment horizontal="center" vertical="center" wrapText="1" shrinkToFit="1"/>
    </xf>
    <xf numFmtId="0" fontId="79" fillId="0" borderId="10" xfId="39" applyFont="1" applyBorder="1" applyAlignment="1">
      <alignment horizontal="center" vertical="center" wrapText="1" shrinkToFit="1"/>
    </xf>
    <xf numFmtId="169" fontId="42" fillId="0" borderId="10" xfId="0" applyFont="1" applyBorder="1" applyAlignment="1">
      <alignment horizontal="center" vertical="center" textRotation="90"/>
    </xf>
    <xf numFmtId="169" fontId="71" fillId="0" borderId="10" xfId="0" applyFont="1" applyBorder="1" applyAlignment="1">
      <alignment horizontal="center"/>
    </xf>
    <xf numFmtId="169" fontId="42" fillId="0" borderId="5" xfId="0" applyFont="1" applyBorder="1" applyAlignment="1">
      <alignment horizontal="center" vertical="center"/>
    </xf>
    <xf numFmtId="169" fontId="42" fillId="0" borderId="60" xfId="0" applyFont="1" applyBorder="1" applyAlignment="1">
      <alignment horizontal="center" vertical="center"/>
    </xf>
    <xf numFmtId="169" fontId="42" fillId="0" borderId="8" xfId="0" applyFont="1" applyBorder="1" applyAlignment="1">
      <alignment horizontal="center" vertical="center"/>
    </xf>
    <xf numFmtId="169" fontId="42" fillId="0" borderId="10" xfId="0" applyFont="1" applyBorder="1" applyAlignment="1">
      <alignment horizontal="center" vertical="center" textRotation="90" wrapText="1"/>
    </xf>
    <xf numFmtId="169" fontId="57" fillId="0" borderId="48" xfId="0" applyFont="1" applyBorder="1" applyAlignment="1">
      <alignment horizontal="center" vertical="center" textRotation="90" wrapText="1"/>
    </xf>
    <xf numFmtId="169" fontId="57" fillId="0" borderId="59" xfId="0" applyFont="1" applyBorder="1" applyAlignment="1">
      <alignment horizontal="center" vertical="center" textRotation="90" wrapText="1"/>
    </xf>
    <xf numFmtId="169" fontId="57" fillId="0" borderId="48" xfId="0" applyFont="1" applyBorder="1" applyAlignment="1">
      <alignment horizontal="center" vertical="center" wrapText="1"/>
    </xf>
    <xf numFmtId="169" fontId="57" fillId="0" borderId="59" xfId="0" applyFont="1" applyBorder="1" applyAlignment="1">
      <alignment horizontal="center" vertical="center" wrapText="1"/>
    </xf>
    <xf numFmtId="169" fontId="57" fillId="0" borderId="45" xfId="0" applyFont="1" applyBorder="1" applyAlignment="1">
      <alignment horizontal="center" vertical="center" wrapText="1"/>
    </xf>
    <xf numFmtId="169" fontId="57" fillId="0" borderId="37" xfId="0" applyFont="1" applyBorder="1" applyAlignment="1">
      <alignment horizontal="center" vertical="center" wrapText="1"/>
    </xf>
    <xf numFmtId="169" fontId="57" fillId="0" borderId="38" xfId="0" applyFont="1" applyBorder="1" applyAlignment="1">
      <alignment horizontal="center" vertical="center" wrapText="1"/>
    </xf>
    <xf numFmtId="169" fontId="57" fillId="0" borderId="47" xfId="0" applyFont="1" applyBorder="1" applyAlignment="1">
      <alignment horizontal="center" vertical="center" textRotation="90" wrapText="1"/>
    </xf>
    <xf numFmtId="169" fontId="0" fillId="9" borderId="3" xfId="0" applyNumberFormat="1" applyFont="1" applyFill="1" applyBorder="1" applyAlignment="1">
      <alignment horizontal="left" vertical="top" wrapText="1"/>
    </xf>
    <xf numFmtId="169" fontId="0" fillId="8" borderId="3" xfId="0" applyNumberFormat="1" applyFont="1" applyFill="1" applyBorder="1" applyAlignment="1">
      <alignment horizontal="left" vertical="top" wrapText="1" indent="2"/>
    </xf>
    <xf numFmtId="169" fontId="0" fillId="0" borderId="3" xfId="0" applyNumberFormat="1" applyFont="1" applyBorder="1" applyAlignment="1">
      <alignment horizontal="left" vertical="top" wrapText="1" indent="4"/>
    </xf>
    <xf numFmtId="169" fontId="0" fillId="0" borderId="3" xfId="0" applyNumberFormat="1" applyFont="1" applyBorder="1" applyAlignment="1">
      <alignment horizontal="left" vertical="top" wrapText="1"/>
    </xf>
    <xf numFmtId="169" fontId="1" fillId="0" borderId="0" xfId="0" applyNumberFormat="1" applyFont="1" applyAlignment="1">
      <alignment horizontal="left" vertical="top" wrapText="1"/>
    </xf>
    <xf numFmtId="169" fontId="1" fillId="0" borderId="0" xfId="0" applyNumberFormat="1" applyFont="1" applyAlignment="1">
      <alignment horizontal="left" vertical="top"/>
    </xf>
    <xf numFmtId="169" fontId="2" fillId="2" borderId="3" xfId="0" applyNumberFormat="1" applyFont="1" applyFill="1" applyBorder="1" applyAlignment="1">
      <alignment horizontal="left" vertical="top" wrapText="1"/>
    </xf>
    <xf numFmtId="169" fontId="23" fillId="0" borderId="0" xfId="0" applyNumberFormat="1" applyFont="1" applyAlignment="1">
      <alignment horizontal="left" vertical="top" wrapText="1"/>
    </xf>
    <xf numFmtId="169" fontId="23" fillId="0" borderId="0" xfId="0" applyNumberFormat="1" applyFont="1" applyAlignment="1">
      <alignment horizontal="left" vertical="top"/>
    </xf>
    <xf numFmtId="169" fontId="0" fillId="3" borderId="3" xfId="0" applyNumberFormat="1" applyFont="1" applyFill="1" applyBorder="1" applyAlignment="1">
      <alignment horizontal="left" vertical="top" wrapText="1"/>
    </xf>
    <xf numFmtId="169" fontId="13" fillId="2" borderId="3" xfId="0" applyNumberFormat="1" applyFont="1" applyFill="1" applyBorder="1" applyAlignment="1">
      <alignment horizontal="left" vertical="top"/>
    </xf>
    <xf numFmtId="169" fontId="13" fillId="2" borderId="3" xfId="0" applyNumberFormat="1" applyFont="1" applyFill="1" applyBorder="1" applyAlignment="1">
      <alignment horizontal="left" vertical="top" wrapText="1"/>
    </xf>
    <xf numFmtId="169" fontId="51" fillId="0" borderId="45" xfId="0" applyFont="1" applyBorder="1" applyAlignment="1">
      <alignment vertical="center" wrapText="1"/>
    </xf>
    <xf numFmtId="169" fontId="51" fillId="0" borderId="38" xfId="0" applyFont="1" applyBorder="1" applyAlignment="1">
      <alignment vertical="center" wrapText="1"/>
    </xf>
    <xf numFmtId="169" fontId="51" fillId="0" borderId="37" xfId="0" applyFont="1" applyBorder="1" applyAlignment="1">
      <alignment vertical="center" wrapText="1"/>
    </xf>
    <xf numFmtId="169" fontId="47" fillId="0" borderId="45" xfId="0" applyFont="1" applyBorder="1" applyAlignment="1">
      <alignment horizontal="right" vertical="center" wrapText="1"/>
    </xf>
    <xf numFmtId="169" fontId="47" fillId="0" borderId="38" xfId="0" applyFont="1" applyBorder="1" applyAlignment="1">
      <alignment horizontal="right" vertical="center" wrapText="1"/>
    </xf>
    <xf numFmtId="169" fontId="47" fillId="0" borderId="37" xfId="0" applyFont="1" applyBorder="1" applyAlignment="1">
      <alignment horizontal="right" vertical="center" wrapText="1"/>
    </xf>
    <xf numFmtId="167" fontId="51" fillId="0" borderId="0" xfId="38" applyNumberFormat="1" applyFont="1" applyAlignment="1"/>
    <xf numFmtId="0" fontId="51" fillId="0" borderId="10" xfId="40" applyFont="1" applyBorder="1" applyAlignment="1">
      <alignment horizontal="center" vertical="center" wrapText="1" shrinkToFit="1"/>
    </xf>
    <xf numFmtId="0" fontId="51" fillId="0" borderId="10" xfId="40" applyFont="1" applyBorder="1" applyAlignment="1">
      <alignment horizontal="centerContinuous" vertical="center" wrapText="1" shrinkToFit="1"/>
    </xf>
    <xf numFmtId="0" fontId="51" fillId="0" borderId="0" xfId="40" applyFont="1" applyBorder="1" applyAlignment="1">
      <alignment horizontal="center" vertical="center" wrapText="1" shrinkToFit="1"/>
    </xf>
    <xf numFmtId="0" fontId="51" fillId="0" borderId="80" xfId="40" applyFont="1" applyFill="1" applyBorder="1" applyAlignment="1">
      <alignment horizontal="center" vertical="center" wrapText="1" shrinkToFit="1"/>
    </xf>
    <xf numFmtId="4" fontId="79" fillId="0" borderId="10" xfId="40" applyNumberFormat="1" applyFont="1" applyBorder="1" applyAlignment="1">
      <alignment horizontal="center" vertical="center" wrapText="1" shrinkToFit="1"/>
    </xf>
    <xf numFmtId="4" fontId="79" fillId="0" borderId="10" xfId="40" applyNumberFormat="1" applyFont="1" applyBorder="1" applyAlignment="1">
      <alignment horizontal="centerContinuous" vertical="center" wrapText="1" shrinkToFit="1"/>
    </xf>
    <xf numFmtId="4" fontId="50" fillId="0" borderId="10" xfId="40" applyNumberFormat="1" applyFont="1" applyBorder="1" applyAlignment="1">
      <alignment horizontal="center" vertical="center" wrapText="1" shrinkToFit="1"/>
    </xf>
    <xf numFmtId="167" fontId="79" fillId="0" borderId="10" xfId="40" applyNumberFormat="1" applyFont="1" applyBorder="1" applyAlignment="1">
      <alignment horizontal="center" vertical="center" wrapText="1" shrinkToFit="1"/>
    </xf>
    <xf numFmtId="167" fontId="79" fillId="0" borderId="0" xfId="40" applyNumberFormat="1" applyFont="1" applyBorder="1" applyAlignment="1">
      <alignment horizontal="center" vertical="center" wrapText="1" shrinkToFit="1"/>
    </xf>
    <xf numFmtId="4" fontId="50" fillId="0" borderId="10" xfId="40" applyNumberFormat="1" applyFont="1" applyBorder="1" applyAlignment="1">
      <alignment horizontal="centerContinuous" vertical="center" wrapText="1" shrinkToFit="1"/>
    </xf>
    <xf numFmtId="2" fontId="79" fillId="0" borderId="10" xfId="40" applyNumberFormat="1" applyFont="1" applyBorder="1" applyAlignment="1">
      <alignment horizontal="center" vertical="center" wrapText="1" shrinkToFit="1"/>
    </xf>
    <xf numFmtId="167" fontId="50" fillId="25" borderId="10" xfId="40" applyNumberFormat="1" applyFont="1" applyFill="1" applyBorder="1" applyAlignment="1">
      <alignment horizontal="center" vertical="center" wrapText="1" shrinkToFit="1"/>
    </xf>
    <xf numFmtId="167" fontId="74" fillId="0" borderId="0" xfId="38" applyNumberFormat="1"/>
    <xf numFmtId="173" fontId="74" fillId="0" borderId="0" xfId="38" applyNumberFormat="1"/>
    <xf numFmtId="174" fontId="74" fillId="0" borderId="0" xfId="38" applyNumberFormat="1"/>
    <xf numFmtId="1" fontId="74" fillId="0" borderId="0" xfId="38" applyNumberFormat="1"/>
    <xf numFmtId="175" fontId="74" fillId="0" borderId="0" xfId="38" applyNumberFormat="1"/>
    <xf numFmtId="2" fontId="79" fillId="26" borderId="10" xfId="40" applyNumberFormat="1" applyFont="1" applyFill="1" applyBorder="1" applyAlignment="1">
      <alignment horizontal="center" vertical="center" wrapText="1" shrinkToFit="1"/>
    </xf>
    <xf numFmtId="176" fontId="79" fillId="0" borderId="10" xfId="40" applyNumberFormat="1" applyFont="1" applyBorder="1" applyAlignment="1">
      <alignment horizontal="centerContinuous" vertical="center" wrapText="1" shrinkToFit="1"/>
    </xf>
    <xf numFmtId="176" fontId="50" fillId="0" borderId="10" xfId="40" applyNumberFormat="1" applyFont="1" applyBorder="1" applyAlignment="1">
      <alignment horizontal="center" vertical="center" wrapText="1" shrinkToFit="1"/>
    </xf>
    <xf numFmtId="2" fontId="50" fillId="0" borderId="10" xfId="40" applyNumberFormat="1" applyFont="1" applyBorder="1" applyAlignment="1">
      <alignment horizontal="center" vertical="center" wrapText="1" shrinkToFit="1"/>
    </xf>
    <xf numFmtId="167" fontId="50" fillId="0" borderId="10" xfId="40" applyNumberFormat="1" applyFont="1" applyBorder="1" applyAlignment="1">
      <alignment horizontal="center" vertical="center" wrapText="1" shrinkToFit="1"/>
    </xf>
    <xf numFmtId="4" fontId="80" fillId="0" borderId="10" xfId="40" applyNumberFormat="1" applyFont="1" applyBorder="1" applyAlignment="1">
      <alignment horizontal="centerContinuous" vertical="center" wrapText="1" shrinkToFit="1"/>
    </xf>
    <xf numFmtId="4" fontId="81" fillId="0" borderId="10" xfId="40" applyNumberFormat="1" applyFont="1" applyBorder="1" applyAlignment="1">
      <alignment horizontal="centerContinuous" vertical="center" wrapText="1" shrinkToFit="1"/>
    </xf>
    <xf numFmtId="168" fontId="80" fillId="0" borderId="10" xfId="40" applyNumberFormat="1" applyFont="1" applyBorder="1" applyAlignment="1">
      <alignment horizontal="center" vertical="center" wrapText="1" shrinkToFit="1"/>
    </xf>
    <xf numFmtId="167" fontId="80" fillId="0" borderId="10" xfId="40" applyNumberFormat="1" applyFont="1" applyBorder="1" applyAlignment="1">
      <alignment horizontal="center" vertical="center" wrapText="1" shrinkToFit="1"/>
    </xf>
    <xf numFmtId="177" fontId="80" fillId="0" borderId="0" xfId="40" applyNumberFormat="1" applyFont="1" applyBorder="1" applyAlignment="1">
      <alignment horizontal="center" vertical="center" wrapText="1" shrinkToFit="1"/>
    </xf>
    <xf numFmtId="177" fontId="74" fillId="0" borderId="0" xfId="38" applyNumberFormat="1"/>
    <xf numFmtId="4" fontId="80" fillId="0" borderId="10" xfId="40" applyNumberFormat="1" applyFont="1" applyBorder="1" applyAlignment="1">
      <alignment horizontal="center" vertical="center" wrapText="1" shrinkToFit="1"/>
    </xf>
    <xf numFmtId="167" fontId="80" fillId="0" borderId="0" xfId="40" applyNumberFormat="1" applyFont="1" applyBorder="1" applyAlignment="1">
      <alignment horizontal="center" vertical="center" wrapText="1" shrinkToFit="1"/>
    </xf>
    <xf numFmtId="178" fontId="74" fillId="0" borderId="0" xfId="38" applyNumberFormat="1"/>
    <xf numFmtId="179" fontId="74" fillId="0" borderId="0" xfId="38" applyNumberFormat="1"/>
    <xf numFmtId="0" fontId="79" fillId="0" borderId="10" xfId="40" applyFont="1" applyBorder="1" applyAlignment="1">
      <alignment horizontal="center" vertical="center" wrapText="1" shrinkToFit="1"/>
    </xf>
    <xf numFmtId="0" fontId="79" fillId="0" borderId="10" xfId="40" applyFont="1" applyBorder="1" applyAlignment="1">
      <alignment horizontal="centerContinuous" vertical="center" wrapText="1" shrinkToFit="1"/>
    </xf>
    <xf numFmtId="0" fontId="50" fillId="0" borderId="10" xfId="40" applyFont="1" applyBorder="1" applyAlignment="1">
      <alignment horizontal="center" vertical="center" wrapText="1" shrinkToFit="1"/>
    </xf>
    <xf numFmtId="2" fontId="50" fillId="25" borderId="10" xfId="40" applyNumberFormat="1" applyFont="1" applyFill="1" applyBorder="1" applyAlignment="1">
      <alignment horizontal="center" vertical="center" wrapText="1" shrinkToFit="1"/>
    </xf>
    <xf numFmtId="2" fontId="79" fillId="0" borderId="0" xfId="40" applyNumberFormat="1" applyFont="1" applyBorder="1" applyAlignment="1">
      <alignment horizontal="center" vertical="center" wrapText="1" shrinkToFit="1"/>
    </xf>
    <xf numFmtId="2" fontId="74" fillId="0" borderId="0" xfId="38" applyNumberFormat="1"/>
    <xf numFmtId="0" fontId="80" fillId="0" borderId="10" xfId="40" applyFont="1" applyBorder="1" applyAlignment="1">
      <alignment horizontal="centerContinuous" vertical="center" wrapText="1" shrinkToFit="1"/>
    </xf>
    <xf numFmtId="0" fontId="81" fillId="0" borderId="10" xfId="40" applyFont="1" applyBorder="1" applyAlignment="1">
      <alignment horizontal="centerContinuous" vertical="center" wrapText="1" shrinkToFit="1"/>
    </xf>
    <xf numFmtId="2" fontId="80" fillId="0" borderId="10" xfId="40" applyNumberFormat="1" applyFont="1" applyBorder="1" applyAlignment="1">
      <alignment horizontal="center" vertical="center" wrapText="1" shrinkToFit="1"/>
    </xf>
    <xf numFmtId="2" fontId="80" fillId="0" borderId="0" xfId="40" applyNumberFormat="1" applyFont="1" applyBorder="1" applyAlignment="1">
      <alignment horizontal="center" vertical="center" wrapText="1" shrinkToFit="1"/>
    </xf>
    <xf numFmtId="4" fontId="79" fillId="0" borderId="0" xfId="40" applyNumberFormat="1" applyFont="1" applyBorder="1" applyAlignment="1">
      <alignment horizontal="center" vertical="center" wrapText="1" shrinkToFit="1"/>
    </xf>
    <xf numFmtId="0" fontId="82" fillId="0" borderId="8" xfId="38" applyFont="1" applyBorder="1" applyAlignment="1">
      <alignment vertical="center" wrapText="1"/>
    </xf>
    <xf numFmtId="0" fontId="16" fillId="0" borderId="6" xfId="38" applyFont="1" applyBorder="1" applyAlignment="1">
      <alignment horizontal="center" vertical="center" wrapText="1"/>
    </xf>
    <xf numFmtId="4" fontId="16" fillId="0" borderId="6" xfId="38" applyNumberFormat="1" applyFont="1" applyBorder="1" applyAlignment="1">
      <alignment horizontal="center" vertical="center" wrapText="1"/>
    </xf>
    <xf numFmtId="2" fontId="82" fillId="0" borderId="6" xfId="38" applyNumberFormat="1" applyFont="1" applyBorder="1" applyAlignment="1">
      <alignment horizontal="center" vertical="center" wrapText="1"/>
    </xf>
    <xf numFmtId="167" fontId="82" fillId="0" borderId="10" xfId="38" applyNumberFormat="1" applyFont="1" applyBorder="1" applyAlignment="1">
      <alignment horizontal="center" vertical="center" wrapText="1"/>
    </xf>
    <xf numFmtId="0" fontId="16" fillId="0" borderId="9" xfId="38" applyFont="1" applyBorder="1" applyAlignment="1">
      <alignment horizontal="center" vertical="center" wrapText="1"/>
    </xf>
    <xf numFmtId="167" fontId="84" fillId="0" borderId="10" xfId="38" applyNumberFormat="1" applyFont="1" applyBorder="1" applyAlignment="1">
      <alignment horizontal="center" vertical="center" wrapText="1"/>
    </xf>
    <xf numFmtId="0" fontId="74" fillId="0" borderId="0" xfId="38" applyAlignment="1">
      <alignment horizontal="center"/>
    </xf>
    <xf numFmtId="0" fontId="42" fillId="0" borderId="10" xfId="38" applyFont="1" applyBorder="1" applyAlignment="1">
      <alignment horizontal="center"/>
    </xf>
    <xf numFmtId="0" fontId="79" fillId="0" borderId="26" xfId="38" applyFont="1" applyBorder="1" applyAlignment="1">
      <alignment horizontal="center"/>
    </xf>
    <xf numFmtId="0" fontId="80" fillId="0" borderId="10" xfId="38" applyFont="1" applyBorder="1" applyAlignment="1">
      <alignment horizontal="center"/>
    </xf>
    <xf numFmtId="2" fontId="74" fillId="0" borderId="0" xfId="38" applyNumberFormat="1" applyAlignment="1">
      <alignment horizontal="left"/>
    </xf>
    <xf numFmtId="0" fontId="50" fillId="0" borderId="26" xfId="38" applyFont="1" applyBorder="1" applyAlignment="1">
      <alignment horizontal="center"/>
    </xf>
    <xf numFmtId="0" fontId="50" fillId="0" borderId="26" xfId="38" applyFont="1" applyBorder="1" applyAlignment="1"/>
    <xf numFmtId="0" fontId="50" fillId="0" borderId="42" xfId="38" applyFont="1" applyBorder="1" applyAlignment="1"/>
    <xf numFmtId="0" fontId="50" fillId="0" borderId="17" xfId="38" applyFont="1" applyBorder="1" applyAlignment="1"/>
    <xf numFmtId="1" fontId="74" fillId="0" borderId="0" xfId="38" applyNumberFormat="1" applyAlignment="1">
      <alignment horizontal="left"/>
    </xf>
    <xf numFmtId="167" fontId="74" fillId="0" borderId="0" xfId="38" applyNumberFormat="1" applyAlignment="1">
      <alignment horizontal="left"/>
    </xf>
    <xf numFmtId="0" fontId="79" fillId="0" borderId="26" xfId="38" applyFont="1" applyBorder="1" applyAlignment="1"/>
    <xf numFmtId="0" fontId="79" fillId="0" borderId="42" xfId="38" applyFont="1" applyBorder="1" applyAlignment="1"/>
    <xf numFmtId="0" fontId="79" fillId="0" borderId="17" xfId="38" applyFont="1" applyBorder="1" applyAlignment="1"/>
    <xf numFmtId="4" fontId="50" fillId="0" borderId="10" xfId="39" applyNumberFormat="1" applyFont="1" applyBorder="1" applyAlignment="1">
      <alignment horizontal="center" vertical="center" shrinkToFit="1"/>
    </xf>
    <xf numFmtId="4" fontId="79" fillId="0" borderId="10" xfId="39" applyNumberFormat="1" applyFont="1" applyBorder="1" applyAlignment="1">
      <alignment horizontal="centerContinuous" vertical="center" shrinkToFit="1"/>
    </xf>
    <xf numFmtId="4" fontId="50" fillId="0" borderId="10" xfId="39" applyNumberFormat="1" applyFont="1" applyBorder="1" applyAlignment="1">
      <alignment horizontal="centerContinuous" vertical="center" shrinkToFit="1"/>
    </xf>
    <xf numFmtId="4" fontId="81" fillId="0" borderId="10" xfId="39" applyNumberFormat="1" applyFont="1" applyBorder="1" applyAlignment="1">
      <alignment horizontal="center" vertical="center" shrinkToFit="1"/>
    </xf>
    <xf numFmtId="4" fontId="80" fillId="0" borderId="10" xfId="39" applyNumberFormat="1" applyFont="1" applyBorder="1" applyAlignment="1">
      <alignment horizontal="centerContinuous" vertical="center" shrinkToFit="1"/>
    </xf>
    <xf numFmtId="4" fontId="81" fillId="0" borderId="10" xfId="39" applyNumberFormat="1" applyFont="1" applyBorder="1" applyAlignment="1">
      <alignment horizontal="centerContinuous" vertical="center" shrinkToFit="1"/>
    </xf>
    <xf numFmtId="0" fontId="58" fillId="0" borderId="0" xfId="0" applyNumberFormat="1" applyFont="1"/>
    <xf numFmtId="0" fontId="59" fillId="0" borderId="0" xfId="0" applyNumberFormat="1" applyFont="1"/>
  </cellXfs>
  <cellStyles count="41">
    <cellStyle name="Comma" xfId="1"/>
    <cellStyle name="Comma0" xfId="2"/>
    <cellStyle name="Currency" xfId="3"/>
    <cellStyle name="Currency0" xfId="4"/>
    <cellStyle name="Date" xfId="5"/>
    <cellStyle name="Fixed" xfId="6"/>
    <cellStyle name="Heading 1" xfId="7"/>
    <cellStyle name="Heading 2" xfId="8"/>
    <cellStyle name="normal" xfId="9"/>
    <cellStyle name="Percent" xfId="10"/>
    <cellStyle name="Total" xfId="11"/>
    <cellStyle name="Гиперссылка" xfId="12" builtinId="8"/>
    <cellStyle name="Гиперссылка 2" xfId="13"/>
    <cellStyle name="Гиперссылка 3" xfId="31"/>
    <cellStyle name="ДАТА" xfId="14"/>
    <cellStyle name="ЗАГОЛОВОК1" xfId="15"/>
    <cellStyle name="ЗАГОЛОВОК2" xfId="16"/>
    <cellStyle name="ИТОГОВЫЙ" xfId="17"/>
    <cellStyle name="Обычный" xfId="0" builtinId="0" customBuiltin="1"/>
    <cellStyle name="Обычный 2" xfId="18"/>
    <cellStyle name="Обычный 2 2" xfId="26"/>
    <cellStyle name="Обычный 2 2 2" xfId="37"/>
    <cellStyle name="Обычный 2 3" xfId="32"/>
    <cellStyle name="Обычный 2 3 2" xfId="40"/>
    <cellStyle name="Обычный 2 4" xfId="39"/>
    <cellStyle name="Обычный 3" xfId="30"/>
    <cellStyle name="Обычный 4" xfId="35"/>
    <cellStyle name="Обычный 5" xfId="38"/>
    <cellStyle name="Обычный_Копия menu maker" xfId="19"/>
    <cellStyle name="Обычный_Мастера" xfId="20"/>
    <cellStyle name="Обычный_Мастера_1" xfId="34"/>
    <cellStyle name="Обычный_Мониторинг" xfId="21"/>
    <cellStyle name="Обычный_Мониторинг розница" xfId="22"/>
    <cellStyle name="Обычный_Реализация (1) (1)" xfId="23"/>
    <cellStyle name="Обычный_Тех карти. Finpla~1" xfId="24"/>
    <cellStyle name="Обычный_Тех карти. Finpla~1 2" xfId="36"/>
    <cellStyle name="Обычный_Техкарта РГК" xfId="33"/>
    <cellStyle name="Стиль 1" xfId="27"/>
    <cellStyle name="Тысячи [0]_Диалог Накладная" xfId="28"/>
    <cellStyle name="Тысячи_Диалог Накладная" xfId="29"/>
    <cellStyle name="ФИКСИРОВАННЫЙ" xfId="25"/>
  </cellStyles>
  <dxfs count="2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numFmt numFmtId="0" formatCode="General"/>
    </dxf>
    <dxf>
      <numFmt numFmtId="167" formatCode="0.000"/>
      <alignment horizontal="left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border diagonalUp="0" diagonalDown="0" outline="0">
        <left style="thin">
          <color indexed="24"/>
        </left>
        <right/>
        <top style="thin">
          <color indexed="24"/>
        </top>
        <bottom style="thin">
          <color indexed="24"/>
        </bottom>
      </border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</dxf>
    <dxf>
      <font>
        <b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</dxf>
    <dxf>
      <numFmt numFmtId="19" formatCode="dd/mm/yyyy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167" formatCode="0.000"/>
    </dxf>
    <dxf>
      <numFmt numFmtId="167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59999389629810485"/>
        </patternFill>
      </fill>
    </dxf>
    <dxf>
      <fill>
        <patternFill patternType="solid">
          <fgColor indexed="64"/>
          <bgColor rgb="FFFFFF00"/>
        </patternFill>
      </fill>
    </dxf>
    <dxf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rgb="FF434345"/>
        <name val="Times New Roman"/>
        <scheme val="none"/>
      </font>
      <fill>
        <patternFill patternType="solid">
          <fgColor indexed="64"/>
          <bgColor rgb="FFF3F3F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1"/>
        </bottom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scheme val="minor"/>
      </font>
      <numFmt numFmtId="172" formatCode="#,##0.00_ ;[Red]\-#,##0.00\ 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alignment horizontal="center" vertical="center" textRotation="0" indent="0" justifyLastLine="0" shrinkToFit="0" readingOrder="0"/>
    </dxf>
    <dxf>
      <font>
        <b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>
        <bottom style="thin">
          <color indexed="64"/>
        </bottom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771525</xdr:colOff>
      <xdr:row>0</xdr:row>
      <xdr:rowOff>38100</xdr:rowOff>
    </xdr:from>
    <xdr:to>
      <xdr:col>2</xdr:col>
      <xdr:colOff>1066800</xdr:colOff>
      <xdr:row>1</xdr:row>
      <xdr:rowOff>114300</xdr:rowOff>
    </xdr:to>
    <xdr:sp macro="" textlink="">
      <xdr:nvSpPr>
        <xdr:cNvPr id="2" name="Улыбающееся лицо 1"/>
        <xdr:cNvSpPr/>
      </xdr:nvSpPr>
      <xdr:spPr>
        <a:xfrm>
          <a:off x="2428875" y="38100"/>
          <a:ext cx="295275" cy="2762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790575</xdr:colOff>
          <xdr:row>0</xdr:row>
          <xdr:rowOff>857250</xdr:rowOff>
        </xdr:from>
        <xdr:to>
          <xdr:col>7</xdr:col>
          <xdr:colOff>142875</xdr:colOff>
          <xdr:row>1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Создать меню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809625</xdr:colOff>
          <xdr:row>1</xdr:row>
          <xdr:rowOff>104775</xdr:rowOff>
        </xdr:from>
        <xdr:to>
          <xdr:col>7</xdr:col>
          <xdr:colOff>161925</xdr:colOff>
          <xdr:row>3</xdr:row>
          <xdr:rowOff>85725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меню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771525</xdr:colOff>
      <xdr:row>1</xdr:row>
      <xdr:rowOff>0</xdr:rowOff>
    </xdr:from>
    <xdr:to>
      <xdr:col>2</xdr:col>
      <xdr:colOff>1066800</xdr:colOff>
      <xdr:row>1</xdr:row>
      <xdr:rowOff>114300</xdr:rowOff>
    </xdr:to>
    <xdr:sp macro="" textlink="">
      <xdr:nvSpPr>
        <xdr:cNvPr id="2" name="Улыбающееся лицо 1"/>
        <xdr:cNvSpPr/>
      </xdr:nvSpPr>
      <xdr:spPr>
        <a:xfrm>
          <a:off x="2428875" y="38100"/>
          <a:ext cx="295275" cy="2762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99;/11/&#1042;&#1110;&#1083;/2_1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72;%2020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ropbox\&#1040;&#1076;&#1084;&#1080;&#1085;&#1080;&#1089;&#1090;&#1088;&#1072;&#1094;&#1080;&#1103;\&#1055;&#1083;&#1072;&#1085;&#1086;&#1074;&#1080;&#1081;\&#1055;&#1088;&#1086;&#1075;&#1088;&#1072;&#1084;&#1084;&#1099;\&#1058;&#1077;&#1093;&#1082;&#1072;&#1088;&#1090;&#1072;%202017%20%20&#1073;&#1077;&#1079;%20&#1092;&#1086;&#1088;&#1084;&#1091;&#1083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Telegram%20Desktop/&#1058;&#1077;&#1093;&#1082;&#1072;&#1088;&#1090;&#1072;_&#1047;&#1074;&#1077;&#1085;_&#1073;&#1083;&#1072;&#1085;&#1082;&#1080;_2018_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72;%202018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Telegram%20Desktop\&#1058;&#1077;&#1093;&#1082;&#1072;&#1088;&#1090;&#1072;_&#1056;&#1043;&#1050;_&#1047;&#1074;&#1077;&#1085;_&#1073;&#1083;&#1072;&#1085;&#1082;&#1080;_2019_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56;&#1044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84;&#1086;&#1083;&#1086;&#1076;&#1085;&#1103;&#1082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ISN%20AutoIt%20Studio\Projects\LIAS2017\&#1058;&#1077;&#1093;&#1082;&#1072;&#1088;&#1090;&#1072;%202018\&#1058;&#1077;&#1093;&#1082;&#1072;&#1088;&#1090;&#1072;%20201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xxx\Downloads\Telegram%20Desktop\&#1058;&#1077;&#1093;&#1082;&#1072;&#1088;&#1090;&#1072;%202017%20(4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elegram%20Desktop\&#1058;&#1077;&#1093;&#1082;&#1072;&#1088;&#1090;&#1072;_&#1047;&#1074;&#1077;&#1085;_&#1073;&#1083;&#1072;&#1085;&#1082;&#1080;_2018_4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&#1055;&#1077;&#1088;&#1077;&#1091;&#1089;&#1090;&#1072;&#1085;&#1086;&#1074;&#1082;&#1072;\&#1058;&#1077;&#1093;&#1082;&#1072;&#1088;&#1090;&#1072;\2019\&#1058;&#1077;&#1093;&#1082;&#1072;&#1088;&#1090;&#1072;%202018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72;%202019%2020181218_v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olond\Downloads\Telegram%20Desktop\&#1058;&#1077;&#1093;&#1082;&#1072;&#1088;&#1090;&#1072;%202018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OREST\Downloads\Telegram%20Desktop\&#1058;&#1077;&#1093;&#1082;&#1072;&#1088;&#1090;&#1072;_&#1056;&#1043;&#1050;_&#1047;&#1074;&#1077;&#1085;_&#1073;&#1083;&#1072;&#1085;&#1082;&#1080;_2019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_1"/>
      <sheetName val="2_11"/>
    </sheetNames>
    <definedNames>
      <definedName name="vyRange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Лист1"/>
    </sheetNames>
    <sheetDataSet>
      <sheetData sheetId="0"/>
      <sheetData sheetId="1"/>
      <sheetData sheetId="2">
        <row r="20">
          <cell r="A20">
            <v>3.5000000000000003E-2</v>
          </cell>
          <cell r="B20">
            <v>1.03</v>
          </cell>
          <cell r="C20">
            <v>7.7670000000000003</v>
          </cell>
          <cell r="D20">
            <v>93.980999999999995</v>
          </cell>
          <cell r="E20">
            <v>612</v>
          </cell>
          <cell r="F20">
            <v>1.175</v>
          </cell>
          <cell r="G20">
            <v>6.8090000000000002</v>
          </cell>
          <cell r="H20">
            <v>82.388999999999996</v>
          </cell>
          <cell r="I20">
            <v>557</v>
          </cell>
          <cell r="J20">
            <v>1.29</v>
          </cell>
          <cell r="K20">
            <v>6.202</v>
          </cell>
          <cell r="L20">
            <v>75.043999999999997</v>
          </cell>
          <cell r="M20">
            <v>506</v>
          </cell>
          <cell r="N20">
            <v>1.41</v>
          </cell>
          <cell r="O20">
            <v>5.6740000000000004</v>
          </cell>
          <cell r="P20">
            <v>68.655000000000001</v>
          </cell>
          <cell r="Q20">
            <v>460</v>
          </cell>
          <cell r="R20">
            <v>1.54</v>
          </cell>
          <cell r="S20">
            <v>5.1950000000000003</v>
          </cell>
          <cell r="T20">
            <v>62.86</v>
          </cell>
          <cell r="U20">
            <v>419</v>
          </cell>
        </row>
        <row r="21">
          <cell r="A21">
            <v>0.04</v>
          </cell>
          <cell r="B21">
            <v>1.19</v>
          </cell>
          <cell r="C21">
            <v>6.7229999999999999</v>
          </cell>
          <cell r="D21">
            <v>81.347999999999999</v>
          </cell>
          <cell r="E21">
            <v>573</v>
          </cell>
          <cell r="F21">
            <v>1.35</v>
          </cell>
          <cell r="G21">
            <v>5.9260000000000002</v>
          </cell>
          <cell r="H21">
            <v>71.704999999999998</v>
          </cell>
          <cell r="I21">
            <v>522</v>
          </cell>
          <cell r="J21">
            <v>1.47</v>
          </cell>
          <cell r="K21">
            <v>5.4420000000000002</v>
          </cell>
          <cell r="L21">
            <v>65.847999999999999</v>
          </cell>
          <cell r="M21">
            <v>475</v>
          </cell>
          <cell r="N21">
            <v>1.6</v>
          </cell>
          <cell r="O21">
            <v>5</v>
          </cell>
          <cell r="P21">
            <v>60.5</v>
          </cell>
          <cell r="Q21">
            <v>431</v>
          </cell>
          <cell r="R21">
            <v>1.73</v>
          </cell>
          <cell r="S21">
            <v>4.6239999999999997</v>
          </cell>
          <cell r="T21">
            <v>55.95</v>
          </cell>
          <cell r="U21">
            <v>392</v>
          </cell>
        </row>
        <row r="22">
          <cell r="A22">
            <v>4.4999999999999998E-2</v>
          </cell>
          <cell r="B22">
            <v>1.32</v>
          </cell>
          <cell r="C22">
            <v>6.0609999999999999</v>
          </cell>
          <cell r="D22">
            <v>73.337999999999994</v>
          </cell>
          <cell r="E22">
            <v>544</v>
          </cell>
          <cell r="F22">
            <v>1.48</v>
          </cell>
          <cell r="G22">
            <v>5.4050000000000002</v>
          </cell>
          <cell r="H22">
            <v>65.400999999999996</v>
          </cell>
          <cell r="I22">
            <v>494</v>
          </cell>
          <cell r="J22">
            <v>1.62</v>
          </cell>
          <cell r="K22">
            <v>4.9379999999999997</v>
          </cell>
          <cell r="L22">
            <v>59.75</v>
          </cell>
          <cell r="M22">
            <v>448</v>
          </cell>
          <cell r="N22">
            <v>1.75</v>
          </cell>
          <cell r="O22">
            <v>4.5709999999999997</v>
          </cell>
          <cell r="P22">
            <v>55.308999999999997</v>
          </cell>
          <cell r="Q22">
            <v>407</v>
          </cell>
          <cell r="R22">
            <v>1.86</v>
          </cell>
          <cell r="S22">
            <v>4.3010000000000002</v>
          </cell>
          <cell r="T22">
            <v>52.042000000000002</v>
          </cell>
          <cell r="U22">
            <v>371</v>
          </cell>
        </row>
        <row r="23">
          <cell r="A23">
            <v>0.05</v>
          </cell>
          <cell r="B23">
            <v>1.55</v>
          </cell>
          <cell r="C23">
            <v>5.1609999999999996</v>
          </cell>
          <cell r="D23">
            <v>62.448</v>
          </cell>
          <cell r="E23">
            <v>521</v>
          </cell>
          <cell r="F23">
            <v>1.72</v>
          </cell>
          <cell r="G23">
            <v>4.6509999999999998</v>
          </cell>
          <cell r="H23">
            <v>56.277000000000001</v>
          </cell>
          <cell r="I23">
            <v>473</v>
          </cell>
          <cell r="J23">
            <v>1.87</v>
          </cell>
          <cell r="K23">
            <v>4.2779999999999996</v>
          </cell>
          <cell r="L23">
            <v>51.764000000000003</v>
          </cell>
          <cell r="M23">
            <v>431</v>
          </cell>
          <cell r="N23">
            <v>2.02</v>
          </cell>
          <cell r="O23">
            <v>3.96</v>
          </cell>
          <cell r="P23">
            <v>47.915999999999997</v>
          </cell>
          <cell r="Q23">
            <v>381</v>
          </cell>
          <cell r="R23">
            <v>2.1800000000000002</v>
          </cell>
          <cell r="S23">
            <v>3.67</v>
          </cell>
          <cell r="T23">
            <v>44.406999999999996</v>
          </cell>
          <cell r="U23">
            <v>356</v>
          </cell>
        </row>
        <row r="24">
          <cell r="A24">
            <v>0.06</v>
          </cell>
          <cell r="B24">
            <v>1.63</v>
          </cell>
          <cell r="C24">
            <v>4.9080000000000004</v>
          </cell>
          <cell r="D24">
            <v>59.387</v>
          </cell>
          <cell r="E24">
            <v>490</v>
          </cell>
          <cell r="F24">
            <v>1.82</v>
          </cell>
          <cell r="G24">
            <v>4.3959999999999999</v>
          </cell>
          <cell r="H24">
            <v>53.192</v>
          </cell>
          <cell r="I24">
            <v>450</v>
          </cell>
          <cell r="J24">
            <v>1.99</v>
          </cell>
          <cell r="K24">
            <v>4.0199999999999996</v>
          </cell>
          <cell r="L24">
            <v>48.642000000000003</v>
          </cell>
          <cell r="M24">
            <v>413</v>
          </cell>
          <cell r="N24">
            <v>2.15</v>
          </cell>
          <cell r="O24">
            <v>3.7210000000000001</v>
          </cell>
          <cell r="P24">
            <v>45.024000000000001</v>
          </cell>
          <cell r="Q24">
            <v>366</v>
          </cell>
          <cell r="R24">
            <v>2.33</v>
          </cell>
          <cell r="S24">
            <v>3.4329999999999998</v>
          </cell>
          <cell r="T24">
            <v>41.539000000000001</v>
          </cell>
          <cell r="U24">
            <v>333</v>
          </cell>
        </row>
        <row r="25">
          <cell r="A25">
            <v>6.5000000000000002E-2</v>
          </cell>
          <cell r="B25">
            <v>1.79</v>
          </cell>
          <cell r="C25">
            <v>4.4690000000000003</v>
          </cell>
          <cell r="D25">
            <v>54.075000000000003</v>
          </cell>
          <cell r="E25">
            <v>469</v>
          </cell>
          <cell r="F25">
            <v>1.99</v>
          </cell>
          <cell r="G25">
            <v>4.0199999999999996</v>
          </cell>
          <cell r="H25">
            <v>48.642000000000003</v>
          </cell>
          <cell r="I25">
            <v>421</v>
          </cell>
          <cell r="J25">
            <v>2.16</v>
          </cell>
          <cell r="K25">
            <v>3.7040000000000002</v>
          </cell>
          <cell r="L25">
            <v>44.817999999999998</v>
          </cell>
          <cell r="M25">
            <v>394</v>
          </cell>
          <cell r="N25">
            <v>2.33</v>
          </cell>
          <cell r="O25">
            <v>3.4329999999999998</v>
          </cell>
          <cell r="P25">
            <v>41.539000000000001</v>
          </cell>
          <cell r="Q25">
            <v>355</v>
          </cell>
          <cell r="R25">
            <v>2.5</v>
          </cell>
          <cell r="S25">
            <v>3.2</v>
          </cell>
          <cell r="T25">
            <v>38.72</v>
          </cell>
          <cell r="U25">
            <v>322</v>
          </cell>
        </row>
        <row r="26">
          <cell r="A26">
            <v>7.0000000000000007E-2</v>
          </cell>
          <cell r="B26">
            <v>1.93</v>
          </cell>
          <cell r="C26">
            <v>4.1449999999999996</v>
          </cell>
          <cell r="D26">
            <v>50.155000000000001</v>
          </cell>
          <cell r="E26">
            <v>463</v>
          </cell>
          <cell r="F26">
            <v>2.13</v>
          </cell>
          <cell r="G26">
            <v>3.7559999999999998</v>
          </cell>
          <cell r="H26">
            <v>45.448</v>
          </cell>
          <cell r="I26">
            <v>421</v>
          </cell>
          <cell r="J26">
            <v>2.2999999999999998</v>
          </cell>
          <cell r="K26">
            <v>3.4780000000000002</v>
          </cell>
          <cell r="L26">
            <v>42.084000000000003</v>
          </cell>
          <cell r="M26">
            <v>382</v>
          </cell>
          <cell r="N26">
            <v>2.46</v>
          </cell>
          <cell r="O26">
            <v>3.2519999999999998</v>
          </cell>
          <cell r="P26">
            <v>39.348999999999997</v>
          </cell>
          <cell r="Q26">
            <v>347</v>
          </cell>
          <cell r="R26">
            <v>2.67</v>
          </cell>
          <cell r="S26">
            <v>2.996</v>
          </cell>
          <cell r="T26">
            <v>36.252000000000002</v>
          </cell>
          <cell r="U26">
            <v>316</v>
          </cell>
        </row>
        <row r="27">
          <cell r="A27">
            <v>0.08</v>
          </cell>
          <cell r="B27">
            <v>2.0299999999999998</v>
          </cell>
          <cell r="C27">
            <v>3.9409999999999998</v>
          </cell>
          <cell r="D27">
            <v>47.686</v>
          </cell>
          <cell r="E27">
            <v>429</v>
          </cell>
          <cell r="F27">
            <v>2.2400000000000002</v>
          </cell>
          <cell r="G27">
            <v>3.5710000000000002</v>
          </cell>
          <cell r="H27">
            <v>43.209000000000003</v>
          </cell>
          <cell r="I27">
            <v>391</v>
          </cell>
          <cell r="J27">
            <v>2.4500000000000002</v>
          </cell>
          <cell r="K27">
            <v>3.2650000000000001</v>
          </cell>
          <cell r="L27">
            <v>39.506999999999998</v>
          </cell>
          <cell r="M27">
            <v>356</v>
          </cell>
          <cell r="N27">
            <v>2.62</v>
          </cell>
          <cell r="O27">
            <v>3.0529999999999999</v>
          </cell>
          <cell r="P27">
            <v>36.941000000000003</v>
          </cell>
          <cell r="Q27">
            <v>323</v>
          </cell>
          <cell r="R27">
            <v>2.83</v>
          </cell>
          <cell r="S27">
            <v>2.827</v>
          </cell>
          <cell r="T27">
            <v>34.207000000000001</v>
          </cell>
          <cell r="U27">
            <v>293</v>
          </cell>
        </row>
        <row r="28">
          <cell r="A28">
            <v>0.09</v>
          </cell>
          <cell r="B28">
            <v>2.2200000000000002</v>
          </cell>
          <cell r="C28">
            <v>3.6040000000000001</v>
          </cell>
          <cell r="D28">
            <v>43.607999999999997</v>
          </cell>
          <cell r="E28">
            <v>403</v>
          </cell>
          <cell r="F28">
            <v>2.46</v>
          </cell>
          <cell r="G28">
            <v>3.2519999999999998</v>
          </cell>
          <cell r="H28">
            <v>39.348999999999997</v>
          </cell>
          <cell r="I28">
            <v>366</v>
          </cell>
          <cell r="J28">
            <v>2.67</v>
          </cell>
          <cell r="K28">
            <v>2.996</v>
          </cell>
          <cell r="L28">
            <v>36.252000000000002</v>
          </cell>
          <cell r="M28">
            <v>333</v>
          </cell>
          <cell r="N28">
            <v>2.85</v>
          </cell>
          <cell r="O28">
            <v>2.8069999999999999</v>
          </cell>
          <cell r="P28">
            <v>33.965000000000003</v>
          </cell>
          <cell r="Q28">
            <v>303</v>
          </cell>
          <cell r="R28">
            <v>3.07</v>
          </cell>
          <cell r="S28">
            <v>2.6059999999999999</v>
          </cell>
          <cell r="T28">
            <v>31.533000000000001</v>
          </cell>
          <cell r="U28">
            <v>275</v>
          </cell>
        </row>
        <row r="29">
          <cell r="A29">
            <v>0.1</v>
          </cell>
          <cell r="B29">
            <v>2.41</v>
          </cell>
          <cell r="C29">
            <v>3.32</v>
          </cell>
          <cell r="D29">
            <v>40.171999999999997</v>
          </cell>
          <cell r="E29">
            <v>382</v>
          </cell>
          <cell r="F29">
            <v>2.65</v>
          </cell>
          <cell r="G29">
            <v>3.0190000000000001</v>
          </cell>
          <cell r="H29">
            <v>36.53</v>
          </cell>
          <cell r="I29">
            <v>346</v>
          </cell>
          <cell r="J29">
            <v>2.86</v>
          </cell>
          <cell r="K29">
            <v>2.7970000000000002</v>
          </cell>
          <cell r="L29">
            <v>33.844000000000001</v>
          </cell>
          <cell r="M29">
            <v>316</v>
          </cell>
          <cell r="N29">
            <v>3.07</v>
          </cell>
          <cell r="O29">
            <v>2.6059999999999999</v>
          </cell>
          <cell r="P29">
            <v>31.533000000000001</v>
          </cell>
          <cell r="Q29">
            <v>287</v>
          </cell>
          <cell r="R29">
            <v>3.32</v>
          </cell>
          <cell r="S29">
            <v>2.41</v>
          </cell>
          <cell r="T29">
            <v>29.161000000000001</v>
          </cell>
          <cell r="U29">
            <v>253</v>
          </cell>
        </row>
        <row r="30">
          <cell r="A30">
            <v>0.12</v>
          </cell>
          <cell r="B30">
            <v>2.5099999999999998</v>
          </cell>
          <cell r="C30">
            <v>3.1869999999999998</v>
          </cell>
          <cell r="D30">
            <v>38.563000000000002</v>
          </cell>
          <cell r="E30">
            <v>339</v>
          </cell>
          <cell r="F30">
            <v>2.77</v>
          </cell>
          <cell r="G30">
            <v>2.8879999999999999</v>
          </cell>
          <cell r="H30">
            <v>34.945</v>
          </cell>
          <cell r="I30">
            <v>309</v>
          </cell>
          <cell r="J30">
            <v>2.99</v>
          </cell>
          <cell r="K30">
            <v>2.6760000000000002</v>
          </cell>
          <cell r="L30">
            <v>32.380000000000003</v>
          </cell>
          <cell r="M30">
            <v>281</v>
          </cell>
          <cell r="N30">
            <v>3.19</v>
          </cell>
          <cell r="O30">
            <v>2.508</v>
          </cell>
          <cell r="P30">
            <v>30.347000000000001</v>
          </cell>
          <cell r="Q30">
            <v>255</v>
          </cell>
          <cell r="R30">
            <v>3.43</v>
          </cell>
          <cell r="S30">
            <v>2.3319999999999999</v>
          </cell>
          <cell r="T30">
            <v>28.216999999999999</v>
          </cell>
          <cell r="U30">
            <v>232</v>
          </cell>
        </row>
        <row r="31">
          <cell r="A31">
            <v>0.14000000000000001</v>
          </cell>
          <cell r="B31">
            <v>2.78</v>
          </cell>
          <cell r="C31">
            <v>2.8780000000000001</v>
          </cell>
          <cell r="D31">
            <v>34.823999999999998</v>
          </cell>
          <cell r="E31">
            <v>306</v>
          </cell>
          <cell r="F31">
            <v>3.03</v>
          </cell>
          <cell r="G31">
            <v>2.64</v>
          </cell>
          <cell r="H31">
            <v>31.943999999999999</v>
          </cell>
          <cell r="I31">
            <v>278</v>
          </cell>
          <cell r="J31">
            <v>3.32</v>
          </cell>
          <cell r="K31">
            <v>2.41</v>
          </cell>
          <cell r="L31">
            <v>29.161000000000001</v>
          </cell>
          <cell r="M31">
            <v>253</v>
          </cell>
          <cell r="N31">
            <v>3.53</v>
          </cell>
          <cell r="O31">
            <v>2.266</v>
          </cell>
          <cell r="P31">
            <v>27.419</v>
          </cell>
          <cell r="Q31">
            <v>230</v>
          </cell>
          <cell r="R31">
            <v>3.82</v>
          </cell>
          <cell r="S31">
            <v>2.0939999999999999</v>
          </cell>
          <cell r="T31">
            <v>25.337</v>
          </cell>
          <cell r="U31">
            <v>209</v>
          </cell>
        </row>
        <row r="32">
          <cell r="A32">
            <v>0.16</v>
          </cell>
          <cell r="B32">
            <v>2.97</v>
          </cell>
          <cell r="C32">
            <v>2.694</v>
          </cell>
          <cell r="D32">
            <v>32.597000000000001</v>
          </cell>
          <cell r="E32">
            <v>278</v>
          </cell>
          <cell r="F32">
            <v>3.31</v>
          </cell>
          <cell r="G32">
            <v>2.4169999999999998</v>
          </cell>
          <cell r="H32">
            <v>29.245999999999999</v>
          </cell>
          <cell r="I32">
            <v>253</v>
          </cell>
          <cell r="J32">
            <v>3.6</v>
          </cell>
          <cell r="K32">
            <v>2.222</v>
          </cell>
          <cell r="L32">
            <v>26.885999999999999</v>
          </cell>
          <cell r="M32">
            <v>230</v>
          </cell>
          <cell r="N32">
            <v>3.85</v>
          </cell>
          <cell r="O32">
            <v>2.0779999999999998</v>
          </cell>
          <cell r="P32">
            <v>25.143999999999998</v>
          </cell>
          <cell r="Q32">
            <v>209</v>
          </cell>
          <cell r="R32">
            <v>4.12</v>
          </cell>
          <cell r="S32">
            <v>1.9419999999999999</v>
          </cell>
          <cell r="T32">
            <v>23.498000000000001</v>
          </cell>
          <cell r="U32">
            <v>190</v>
          </cell>
        </row>
        <row r="33">
          <cell r="A33">
            <v>0.19</v>
          </cell>
          <cell r="B33">
            <v>3.28</v>
          </cell>
          <cell r="C33">
            <v>2.4390000000000001</v>
          </cell>
          <cell r="D33">
            <v>29.512</v>
          </cell>
          <cell r="E33">
            <v>249</v>
          </cell>
          <cell r="F33">
            <v>3.6</v>
          </cell>
          <cell r="G33">
            <v>2.222</v>
          </cell>
          <cell r="H33">
            <v>26.885999999999999</v>
          </cell>
          <cell r="I33">
            <v>227</v>
          </cell>
          <cell r="J33">
            <v>3.87</v>
          </cell>
          <cell r="K33">
            <v>2.0670000000000002</v>
          </cell>
          <cell r="L33">
            <v>25.010999999999999</v>
          </cell>
          <cell r="M33">
            <v>206</v>
          </cell>
          <cell r="N33">
            <v>4.1399999999999997</v>
          </cell>
          <cell r="O33">
            <v>1.9319999999999999</v>
          </cell>
          <cell r="P33">
            <v>23.376999999999999</v>
          </cell>
          <cell r="Q33">
            <v>187</v>
          </cell>
          <cell r="R33">
            <v>4.42</v>
          </cell>
          <cell r="S33">
            <v>1.81</v>
          </cell>
          <cell r="T33">
            <v>21.901</v>
          </cell>
          <cell r="U33">
            <v>169</v>
          </cell>
        </row>
        <row r="34">
          <cell r="A34">
            <v>0.23</v>
          </cell>
          <cell r="B34">
            <v>3.77</v>
          </cell>
          <cell r="C34">
            <v>2.1219999999999999</v>
          </cell>
          <cell r="D34">
            <v>25.675999999999998</v>
          </cell>
          <cell r="E34">
            <v>221</v>
          </cell>
          <cell r="F34">
            <v>3.95</v>
          </cell>
          <cell r="G34">
            <v>2.0249999999999999</v>
          </cell>
          <cell r="H34">
            <v>24.503</v>
          </cell>
          <cell r="I34">
            <v>206</v>
          </cell>
          <cell r="J34">
            <v>4.25</v>
          </cell>
          <cell r="K34">
            <v>1.8819999999999999</v>
          </cell>
          <cell r="L34">
            <v>22.771999999999998</v>
          </cell>
          <cell r="M34">
            <v>187</v>
          </cell>
          <cell r="N34">
            <v>4.5199999999999996</v>
          </cell>
          <cell r="O34">
            <v>1.77</v>
          </cell>
          <cell r="P34">
            <v>21.417000000000002</v>
          </cell>
          <cell r="Q34">
            <v>179</v>
          </cell>
          <cell r="R34">
            <v>4.82</v>
          </cell>
          <cell r="S34">
            <v>1.66</v>
          </cell>
          <cell r="T34">
            <v>20.085999999999999</v>
          </cell>
          <cell r="U34">
            <v>149</v>
          </cell>
        </row>
        <row r="35">
          <cell r="A35">
            <v>0.25</v>
          </cell>
          <cell r="B35">
            <v>3.94</v>
          </cell>
          <cell r="C35">
            <v>2.0299999999999998</v>
          </cell>
          <cell r="D35">
            <v>24.562999999999999</v>
          </cell>
          <cell r="E35">
            <v>209</v>
          </cell>
          <cell r="F35">
            <v>4.3099999999999996</v>
          </cell>
          <cell r="G35">
            <v>1.8560000000000001</v>
          </cell>
          <cell r="H35">
            <v>22.457999999999998</v>
          </cell>
          <cell r="I35">
            <v>190</v>
          </cell>
          <cell r="J35">
            <v>4.63</v>
          </cell>
          <cell r="K35">
            <v>1.728</v>
          </cell>
          <cell r="L35">
            <v>20.908999999999999</v>
          </cell>
          <cell r="M35">
            <v>173</v>
          </cell>
          <cell r="N35">
            <v>4.92</v>
          </cell>
          <cell r="O35">
            <v>1.6259999999999999</v>
          </cell>
          <cell r="P35">
            <v>19.675000000000001</v>
          </cell>
          <cell r="Q35">
            <v>164</v>
          </cell>
          <cell r="R35">
            <v>5.19</v>
          </cell>
          <cell r="S35">
            <v>1.5409999999999999</v>
          </cell>
          <cell r="T35">
            <v>18.646000000000001</v>
          </cell>
          <cell r="U35">
            <v>143</v>
          </cell>
        </row>
        <row r="36">
          <cell r="A36">
            <v>0.28999999999999998</v>
          </cell>
          <cell r="B36">
            <v>4.17</v>
          </cell>
          <cell r="C36">
            <v>1.9179999999999999</v>
          </cell>
          <cell r="D36">
            <v>23.207999999999998</v>
          </cell>
          <cell r="E36">
            <v>191</v>
          </cell>
          <cell r="F36">
            <v>4.55</v>
          </cell>
          <cell r="G36">
            <v>1.758</v>
          </cell>
          <cell r="H36">
            <v>21.271999999999998</v>
          </cell>
          <cell r="I36">
            <v>174</v>
          </cell>
          <cell r="J36">
            <v>4.88</v>
          </cell>
          <cell r="K36">
            <v>1.639</v>
          </cell>
          <cell r="L36">
            <v>19.832000000000001</v>
          </cell>
          <cell r="M36">
            <v>158</v>
          </cell>
          <cell r="N36">
            <v>5.19</v>
          </cell>
          <cell r="O36">
            <v>1.5409999999999999</v>
          </cell>
          <cell r="P36">
            <v>18.646000000000001</v>
          </cell>
          <cell r="Q36">
            <v>151</v>
          </cell>
          <cell r="R36">
            <v>5.53</v>
          </cell>
          <cell r="S36">
            <v>1.4470000000000001</v>
          </cell>
          <cell r="T36">
            <v>17.509</v>
          </cell>
          <cell r="U36">
            <v>131</v>
          </cell>
        </row>
        <row r="37">
          <cell r="A37">
            <v>0.35</v>
          </cell>
          <cell r="B37">
            <v>4.4800000000000004</v>
          </cell>
          <cell r="C37">
            <v>1.786</v>
          </cell>
          <cell r="D37">
            <v>21.611000000000001</v>
          </cell>
          <cell r="E37">
            <v>172</v>
          </cell>
          <cell r="F37">
            <v>4.88</v>
          </cell>
          <cell r="G37">
            <v>1.639</v>
          </cell>
          <cell r="H37">
            <v>19.832000000000001</v>
          </cell>
          <cell r="I37">
            <v>156</v>
          </cell>
          <cell r="J37">
            <v>5.22</v>
          </cell>
          <cell r="K37">
            <v>1.5329999999999999</v>
          </cell>
          <cell r="L37">
            <v>18.548999999999999</v>
          </cell>
          <cell r="M37">
            <v>142</v>
          </cell>
          <cell r="N37">
            <v>5.53</v>
          </cell>
          <cell r="O37">
            <v>1.4470000000000001</v>
          </cell>
          <cell r="P37">
            <v>17.509</v>
          </cell>
          <cell r="Q37">
            <v>138</v>
          </cell>
          <cell r="R37">
            <v>5.88</v>
          </cell>
          <cell r="S37">
            <v>1.361</v>
          </cell>
          <cell r="T37">
            <v>16.468</v>
          </cell>
          <cell r="U37">
            <v>117</v>
          </cell>
        </row>
        <row r="38">
          <cell r="A38">
            <v>0.41</v>
          </cell>
          <cell r="B38">
            <v>4.9400000000000004</v>
          </cell>
          <cell r="C38">
            <v>1.619</v>
          </cell>
          <cell r="D38">
            <v>19.59</v>
          </cell>
          <cell r="E38">
            <v>158</v>
          </cell>
          <cell r="F38">
            <v>5.37</v>
          </cell>
          <cell r="G38">
            <v>1.49</v>
          </cell>
          <cell r="H38">
            <v>18.029</v>
          </cell>
          <cell r="I38">
            <v>144</v>
          </cell>
          <cell r="J38">
            <v>5.75</v>
          </cell>
          <cell r="K38">
            <v>1.391</v>
          </cell>
          <cell r="L38">
            <v>16.831</v>
          </cell>
          <cell r="M38">
            <v>131</v>
          </cell>
          <cell r="N38">
            <v>6.1</v>
          </cell>
          <cell r="O38">
            <v>1.3109999999999999</v>
          </cell>
          <cell r="P38">
            <v>15.863</v>
          </cell>
          <cell r="Q38">
            <v>125</v>
          </cell>
          <cell r="R38">
            <v>6.49</v>
          </cell>
          <cell r="S38">
            <v>1.2330000000000001</v>
          </cell>
          <cell r="T38">
            <v>14.919</v>
          </cell>
          <cell r="U38">
            <v>108</v>
          </cell>
        </row>
        <row r="39">
          <cell r="A39">
            <v>0.5</v>
          </cell>
          <cell r="B39">
            <v>5.27</v>
          </cell>
          <cell r="C39">
            <v>1.518</v>
          </cell>
          <cell r="D39">
            <v>18.367999999999999</v>
          </cell>
          <cell r="E39">
            <v>144</v>
          </cell>
          <cell r="F39">
            <v>5.72</v>
          </cell>
          <cell r="G39">
            <v>1.399</v>
          </cell>
          <cell r="H39">
            <v>16.928000000000001</v>
          </cell>
          <cell r="I39">
            <v>131</v>
          </cell>
          <cell r="J39">
            <v>6.1</v>
          </cell>
          <cell r="K39">
            <v>1.3109999999999999</v>
          </cell>
          <cell r="L39">
            <v>15.863</v>
          </cell>
          <cell r="M39">
            <v>119</v>
          </cell>
          <cell r="N39">
            <v>6.47</v>
          </cell>
          <cell r="O39">
            <v>1.236</v>
          </cell>
          <cell r="P39">
            <v>14.956</v>
          </cell>
          <cell r="Q39">
            <v>114</v>
          </cell>
          <cell r="R39">
            <v>6.86</v>
          </cell>
          <cell r="S39">
            <v>1.1659999999999999</v>
          </cell>
          <cell r="T39">
            <v>14.109</v>
          </cell>
          <cell r="U39">
            <v>98</v>
          </cell>
        </row>
        <row r="40">
          <cell r="A40">
            <v>0.62</v>
          </cell>
          <cell r="B40">
            <v>5.8</v>
          </cell>
          <cell r="C40">
            <v>1.379</v>
          </cell>
          <cell r="D40">
            <v>16.686</v>
          </cell>
          <cell r="E40">
            <v>129</v>
          </cell>
          <cell r="F40">
            <v>6.3</v>
          </cell>
          <cell r="G40">
            <v>1.27</v>
          </cell>
          <cell r="H40">
            <v>15.367000000000001</v>
          </cell>
          <cell r="I40">
            <v>118</v>
          </cell>
          <cell r="J40">
            <v>6.24</v>
          </cell>
          <cell r="K40">
            <v>1.282</v>
          </cell>
          <cell r="L40">
            <v>15.512</v>
          </cell>
          <cell r="M40">
            <v>107</v>
          </cell>
          <cell r="N40">
            <v>7.12</v>
          </cell>
          <cell r="O40">
            <v>1.1240000000000001</v>
          </cell>
          <cell r="P40">
            <v>13.6</v>
          </cell>
          <cell r="Q40">
            <v>104</v>
          </cell>
          <cell r="R40">
            <v>7.56</v>
          </cell>
          <cell r="S40">
            <v>1.0580000000000001</v>
          </cell>
          <cell r="T40">
            <v>12.802</v>
          </cell>
          <cell r="U40">
            <v>88</v>
          </cell>
        </row>
        <row r="41">
          <cell r="A41">
            <v>0.79</v>
          </cell>
          <cell r="B41">
            <v>6.15</v>
          </cell>
          <cell r="C41">
            <v>1.3009999999999999</v>
          </cell>
          <cell r="D41">
            <v>15.742000000000001</v>
          </cell>
          <cell r="E41">
            <v>118</v>
          </cell>
          <cell r="F41">
            <v>6.67</v>
          </cell>
          <cell r="G41">
            <v>1.1990000000000001</v>
          </cell>
          <cell r="H41">
            <v>14.507999999999999</v>
          </cell>
          <cell r="I41">
            <v>107</v>
          </cell>
          <cell r="J41">
            <v>7.12</v>
          </cell>
          <cell r="K41">
            <v>1.1240000000000001</v>
          </cell>
          <cell r="L41">
            <v>13.6</v>
          </cell>
          <cell r="M41">
            <v>97</v>
          </cell>
          <cell r="N41">
            <v>7.52</v>
          </cell>
          <cell r="O41">
            <v>1.0640000000000001</v>
          </cell>
          <cell r="P41">
            <v>12.874000000000001</v>
          </cell>
          <cell r="Q41">
            <v>93</v>
          </cell>
          <cell r="R41">
            <v>7.75</v>
          </cell>
          <cell r="S41">
            <v>1.032</v>
          </cell>
          <cell r="T41">
            <v>12.487</v>
          </cell>
          <cell r="U41">
            <v>80</v>
          </cell>
        </row>
        <row r="42">
          <cell r="A42">
            <v>1</v>
          </cell>
          <cell r="B42">
            <v>6.78</v>
          </cell>
          <cell r="C42">
            <v>1.18</v>
          </cell>
          <cell r="D42">
            <v>14.278</v>
          </cell>
          <cell r="E42">
            <v>108</v>
          </cell>
          <cell r="F42">
            <v>7.34</v>
          </cell>
          <cell r="G42">
            <v>1.0900000000000001</v>
          </cell>
          <cell r="H42">
            <v>13.189</v>
          </cell>
          <cell r="I42">
            <v>98</v>
          </cell>
          <cell r="J42">
            <v>7.85</v>
          </cell>
          <cell r="K42">
            <v>1.0189999999999999</v>
          </cell>
          <cell r="L42">
            <v>12.33</v>
          </cell>
          <cell r="M42">
            <v>89</v>
          </cell>
          <cell r="N42">
            <v>8.2799999999999994</v>
          </cell>
          <cell r="O42">
            <v>0.96599999999999997</v>
          </cell>
          <cell r="P42">
            <v>11.689</v>
          </cell>
          <cell r="Q42">
            <v>86</v>
          </cell>
          <cell r="R42">
            <v>8.83</v>
          </cell>
          <cell r="S42">
            <v>0.90600000000000003</v>
          </cell>
          <cell r="T42">
            <v>10.962999999999999</v>
          </cell>
          <cell r="U42">
            <v>74</v>
          </cell>
        </row>
        <row r="43">
          <cell r="A43">
            <v>1.5</v>
          </cell>
          <cell r="B43">
            <v>7.52</v>
          </cell>
          <cell r="C43">
            <v>1.0640000000000001</v>
          </cell>
          <cell r="D43">
            <v>12.874000000000001</v>
          </cell>
          <cell r="E43">
            <v>96</v>
          </cell>
          <cell r="F43">
            <v>8.16</v>
          </cell>
          <cell r="G43">
            <v>0.98</v>
          </cell>
          <cell r="H43">
            <v>11.858000000000001</v>
          </cell>
          <cell r="I43">
            <v>87</v>
          </cell>
          <cell r="J43">
            <v>8.67</v>
          </cell>
          <cell r="K43">
            <v>0.92300000000000004</v>
          </cell>
          <cell r="L43">
            <v>11.167999999999999</v>
          </cell>
          <cell r="M43">
            <v>79</v>
          </cell>
          <cell r="N43">
            <v>9.17</v>
          </cell>
          <cell r="O43">
            <v>0.872</v>
          </cell>
          <cell r="P43">
            <v>10.551</v>
          </cell>
          <cell r="Q43">
            <v>77</v>
          </cell>
          <cell r="R43">
            <v>9.7200000000000006</v>
          </cell>
          <cell r="S43">
            <v>0.82299999999999995</v>
          </cell>
          <cell r="T43">
            <v>9.9580000000000002</v>
          </cell>
          <cell r="U43">
            <v>65</v>
          </cell>
        </row>
      </sheetData>
      <sheetData sheetId="3"/>
      <sheetData sheetId="4"/>
      <sheetData sheetId="5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19">
          <cell r="A19">
            <v>0.14000000000000001</v>
          </cell>
          <cell r="B19">
            <v>13.7</v>
          </cell>
          <cell r="C19">
            <v>8.3000000000000007</v>
          </cell>
          <cell r="D19">
            <v>12.2</v>
          </cell>
          <cell r="E19">
            <v>7.4</v>
          </cell>
          <cell r="F19">
            <v>15.3</v>
          </cell>
          <cell r="G19">
            <v>9.1999999999999993</v>
          </cell>
          <cell r="H19">
            <v>13.7</v>
          </cell>
          <cell r="I19">
            <v>8.1999999999999993</v>
          </cell>
          <cell r="J19">
            <v>17</v>
          </cell>
          <cell r="K19">
            <v>10.3</v>
          </cell>
          <cell r="L19">
            <v>15.5</v>
          </cell>
          <cell r="M19">
            <v>9.4</v>
          </cell>
        </row>
        <row r="20">
          <cell r="A20">
            <v>0.17</v>
          </cell>
          <cell r="B20">
            <v>15.7</v>
          </cell>
          <cell r="C20">
            <v>9.5</v>
          </cell>
          <cell r="D20">
            <v>14</v>
          </cell>
          <cell r="E20">
            <v>8.5</v>
          </cell>
          <cell r="F20">
            <v>17.399999999999999</v>
          </cell>
          <cell r="G20">
            <v>10.5</v>
          </cell>
          <cell r="H20">
            <v>15.5</v>
          </cell>
          <cell r="I20">
            <v>9.4</v>
          </cell>
          <cell r="J20">
            <v>19.3</v>
          </cell>
          <cell r="K20">
            <v>11.7</v>
          </cell>
          <cell r="L20">
            <v>17.5</v>
          </cell>
          <cell r="M20">
            <v>10.6</v>
          </cell>
        </row>
        <row r="21">
          <cell r="A21">
            <v>0.21</v>
          </cell>
          <cell r="B21">
            <v>17.7</v>
          </cell>
          <cell r="C21">
            <v>10.7</v>
          </cell>
          <cell r="D21">
            <v>15.8</v>
          </cell>
          <cell r="E21">
            <v>9.6</v>
          </cell>
          <cell r="F21">
            <v>19.7</v>
          </cell>
          <cell r="G21">
            <v>11.8</v>
          </cell>
          <cell r="H21">
            <v>17.600000000000001</v>
          </cell>
          <cell r="I21">
            <v>10.5</v>
          </cell>
          <cell r="J21">
            <v>21.7</v>
          </cell>
          <cell r="K21">
            <v>13</v>
          </cell>
          <cell r="L21">
            <v>19.7</v>
          </cell>
          <cell r="M21">
            <v>11.8</v>
          </cell>
        </row>
        <row r="22">
          <cell r="A22">
            <v>0.25</v>
          </cell>
          <cell r="B22">
            <v>20.2</v>
          </cell>
          <cell r="C22">
            <v>12.1</v>
          </cell>
          <cell r="D22">
            <v>18</v>
          </cell>
          <cell r="E22">
            <v>10.8</v>
          </cell>
          <cell r="F22">
            <v>22.2</v>
          </cell>
          <cell r="G22">
            <v>13.3</v>
          </cell>
          <cell r="H22">
            <v>19.8</v>
          </cell>
          <cell r="I22">
            <v>11.9</v>
          </cell>
          <cell r="J22">
            <v>24.4</v>
          </cell>
          <cell r="K22">
            <v>14.6</v>
          </cell>
          <cell r="L22">
            <v>22.2</v>
          </cell>
          <cell r="M22">
            <v>13.3</v>
          </cell>
        </row>
        <row r="23">
          <cell r="A23">
            <v>0.32</v>
          </cell>
          <cell r="B23">
            <v>22.7</v>
          </cell>
          <cell r="C23">
            <v>13.7</v>
          </cell>
          <cell r="D23">
            <v>20.3</v>
          </cell>
          <cell r="E23">
            <v>12.2</v>
          </cell>
          <cell r="F23">
            <v>24.8</v>
          </cell>
          <cell r="G23">
            <v>15</v>
          </cell>
          <cell r="H23">
            <v>22.1</v>
          </cell>
          <cell r="I23">
            <v>13.4</v>
          </cell>
          <cell r="J23">
            <v>27.1</v>
          </cell>
          <cell r="K23">
            <v>16.3</v>
          </cell>
          <cell r="L23">
            <v>24.6</v>
          </cell>
          <cell r="M23">
            <v>14.8</v>
          </cell>
        </row>
        <row r="24">
          <cell r="A24">
            <v>0.39</v>
          </cell>
          <cell r="B24">
            <v>25.4</v>
          </cell>
          <cell r="C24">
            <v>15.2</v>
          </cell>
          <cell r="D24">
            <v>22.7</v>
          </cell>
          <cell r="E24">
            <v>13.6</v>
          </cell>
          <cell r="F24">
            <v>27.7</v>
          </cell>
          <cell r="G24">
            <v>16.600000000000001</v>
          </cell>
          <cell r="H24">
            <v>24.7</v>
          </cell>
          <cell r="I24">
            <v>14.8</v>
          </cell>
          <cell r="J24">
            <v>30.2</v>
          </cell>
          <cell r="K24">
            <v>18.100000000000001</v>
          </cell>
          <cell r="L24">
            <v>27.5</v>
          </cell>
          <cell r="M24">
            <v>16.5</v>
          </cell>
        </row>
        <row r="25">
          <cell r="A25">
            <v>0.49</v>
          </cell>
          <cell r="B25">
            <v>28.3</v>
          </cell>
          <cell r="C25">
            <v>17</v>
          </cell>
          <cell r="D25">
            <v>25.3</v>
          </cell>
          <cell r="E25">
            <v>15.2</v>
          </cell>
          <cell r="F25">
            <v>30.7</v>
          </cell>
          <cell r="G25">
            <v>18.399999999999999</v>
          </cell>
          <cell r="H25">
            <v>27.4</v>
          </cell>
          <cell r="I25">
            <v>16.399999999999999</v>
          </cell>
          <cell r="J25">
            <v>33.299999999999997</v>
          </cell>
          <cell r="K25">
            <v>20</v>
          </cell>
          <cell r="L25">
            <v>30.2</v>
          </cell>
          <cell r="M25">
            <v>18.2</v>
          </cell>
        </row>
        <row r="26">
          <cell r="A26">
            <v>0.75</v>
          </cell>
          <cell r="B26">
            <v>31.4</v>
          </cell>
          <cell r="C26">
            <v>18.899999999999999</v>
          </cell>
          <cell r="D26">
            <v>28</v>
          </cell>
          <cell r="E26">
            <v>15.9</v>
          </cell>
          <cell r="F26">
            <v>33.9</v>
          </cell>
          <cell r="G26">
            <v>20.399999999999999</v>
          </cell>
          <cell r="H26">
            <v>30.3</v>
          </cell>
          <cell r="I26">
            <v>18.2</v>
          </cell>
          <cell r="J26">
            <v>36.6</v>
          </cell>
          <cell r="K26">
            <v>22.1</v>
          </cell>
          <cell r="L26">
            <v>33.299999999999997</v>
          </cell>
          <cell r="M26">
            <v>20.100000000000001</v>
          </cell>
        </row>
        <row r="27">
          <cell r="A27">
            <v>1.1000000000000001</v>
          </cell>
          <cell r="B27">
            <v>34.799999999999997</v>
          </cell>
          <cell r="C27">
            <v>20.9</v>
          </cell>
          <cell r="D27">
            <v>31.1</v>
          </cell>
          <cell r="E27">
            <v>18.7</v>
          </cell>
          <cell r="F27">
            <v>37.299999999999997</v>
          </cell>
          <cell r="G27">
            <v>22.4</v>
          </cell>
          <cell r="H27">
            <v>33.299999999999997</v>
          </cell>
          <cell r="I27">
            <v>20</v>
          </cell>
          <cell r="J27">
            <v>40.1</v>
          </cell>
          <cell r="K27">
            <v>24.1</v>
          </cell>
          <cell r="L27">
            <v>36.5</v>
          </cell>
          <cell r="M27">
            <v>21.9</v>
          </cell>
        </row>
        <row r="28">
          <cell r="A28">
            <v>1000</v>
          </cell>
          <cell r="B28">
            <v>34.799999999999997</v>
          </cell>
          <cell r="C28">
            <v>20.9</v>
          </cell>
          <cell r="D28">
            <v>31.1</v>
          </cell>
          <cell r="E28">
            <v>18.7</v>
          </cell>
          <cell r="F28">
            <v>37.299999999999997</v>
          </cell>
          <cell r="G28">
            <v>22.4</v>
          </cell>
          <cell r="H28">
            <v>33.299999999999997</v>
          </cell>
          <cell r="I28">
            <v>20</v>
          </cell>
          <cell r="J28">
            <v>40.1</v>
          </cell>
          <cell r="K28">
            <v>24.1</v>
          </cell>
          <cell r="L28">
            <v>36.5</v>
          </cell>
          <cell r="M28">
            <v>21.9</v>
          </cell>
        </row>
        <row r="33">
          <cell r="A33">
            <v>0.14000000000000001</v>
          </cell>
          <cell r="B33">
            <v>12.9</v>
          </cell>
          <cell r="C33">
            <v>9.1</v>
          </cell>
          <cell r="D33">
            <v>11.9</v>
          </cell>
          <cell r="E33">
            <v>8.4</v>
          </cell>
          <cell r="F33">
            <v>14.3</v>
          </cell>
          <cell r="G33">
            <v>10</v>
          </cell>
          <cell r="H33">
            <v>13.2</v>
          </cell>
          <cell r="I33">
            <v>9.1999999999999993</v>
          </cell>
          <cell r="J33">
            <v>15.8</v>
          </cell>
          <cell r="K33">
            <v>11.1</v>
          </cell>
          <cell r="L33">
            <v>14.5</v>
          </cell>
          <cell r="M33">
            <v>10.199999999999999</v>
          </cell>
        </row>
        <row r="34">
          <cell r="A34">
            <v>0.17</v>
          </cell>
          <cell r="B34">
            <v>14.7</v>
          </cell>
          <cell r="C34">
            <v>10.3</v>
          </cell>
          <cell r="D34">
            <v>13.5</v>
          </cell>
          <cell r="E34">
            <v>9.5</v>
          </cell>
          <cell r="F34">
            <v>16.2</v>
          </cell>
          <cell r="G34">
            <v>11.4</v>
          </cell>
          <cell r="H34">
            <v>14.9</v>
          </cell>
          <cell r="I34">
            <v>10.5</v>
          </cell>
          <cell r="J34">
            <v>17.899999999999999</v>
          </cell>
          <cell r="K34">
            <v>12.6</v>
          </cell>
          <cell r="L34">
            <v>16.5</v>
          </cell>
          <cell r="M34">
            <v>11.6</v>
          </cell>
        </row>
        <row r="35">
          <cell r="A35">
            <v>0.21</v>
          </cell>
          <cell r="B35">
            <v>16.600000000000001</v>
          </cell>
          <cell r="C35">
            <v>11.7</v>
          </cell>
          <cell r="D35">
            <v>15.3</v>
          </cell>
          <cell r="E35">
            <v>10.8</v>
          </cell>
          <cell r="F35">
            <v>18.3</v>
          </cell>
          <cell r="G35">
            <v>12.9</v>
          </cell>
          <cell r="H35">
            <v>16.8</v>
          </cell>
          <cell r="I35">
            <v>11.9</v>
          </cell>
          <cell r="J35">
            <v>20.100000000000001</v>
          </cell>
          <cell r="K35">
            <v>14.2</v>
          </cell>
          <cell r="L35">
            <v>18.5</v>
          </cell>
          <cell r="M35">
            <v>13.1</v>
          </cell>
        </row>
        <row r="36">
          <cell r="A36">
            <v>0.25</v>
          </cell>
          <cell r="B36">
            <v>19.2</v>
          </cell>
          <cell r="C36">
            <v>13.5</v>
          </cell>
          <cell r="D36">
            <v>17.7</v>
          </cell>
          <cell r="E36">
            <v>12.4</v>
          </cell>
          <cell r="F36">
            <v>20.6</v>
          </cell>
          <cell r="G36">
            <v>14.5</v>
          </cell>
          <cell r="H36">
            <v>18.899999999999999</v>
          </cell>
          <cell r="I36">
            <v>13.3</v>
          </cell>
          <cell r="J36">
            <v>22.1</v>
          </cell>
          <cell r="K36">
            <v>15.6</v>
          </cell>
          <cell r="L36">
            <v>20.3</v>
          </cell>
          <cell r="M36">
            <v>14.3</v>
          </cell>
        </row>
        <row r="37">
          <cell r="A37">
            <v>0.32</v>
          </cell>
          <cell r="B37">
            <v>21.1</v>
          </cell>
          <cell r="C37">
            <v>14.8</v>
          </cell>
          <cell r="D37">
            <v>19.399999999999999</v>
          </cell>
          <cell r="E37">
            <v>13.6</v>
          </cell>
          <cell r="F37">
            <v>23.1</v>
          </cell>
          <cell r="G37">
            <v>16.2</v>
          </cell>
          <cell r="H37">
            <v>21.2</v>
          </cell>
          <cell r="I37">
            <v>14.9</v>
          </cell>
          <cell r="J37">
            <v>25.3</v>
          </cell>
          <cell r="K37">
            <v>17.7</v>
          </cell>
          <cell r="L37">
            <v>23.3</v>
          </cell>
          <cell r="M37">
            <v>16.3</v>
          </cell>
        </row>
        <row r="38">
          <cell r="A38">
            <v>0.39</v>
          </cell>
          <cell r="B38">
            <v>23.6</v>
          </cell>
          <cell r="C38">
            <v>16.600000000000001</v>
          </cell>
          <cell r="D38">
            <v>21.7</v>
          </cell>
          <cell r="E38">
            <v>15.3</v>
          </cell>
          <cell r="F38">
            <v>25.8</v>
          </cell>
          <cell r="G38">
            <v>18.100000000000001</v>
          </cell>
          <cell r="H38">
            <v>23.7</v>
          </cell>
          <cell r="I38">
            <v>16.600000000000001</v>
          </cell>
          <cell r="J38">
            <v>28.2</v>
          </cell>
          <cell r="K38">
            <v>19.8</v>
          </cell>
          <cell r="L38">
            <v>25.9</v>
          </cell>
          <cell r="M38">
            <v>18.2</v>
          </cell>
        </row>
        <row r="39">
          <cell r="A39">
            <v>0.49</v>
          </cell>
          <cell r="B39">
            <v>26.2</v>
          </cell>
          <cell r="C39">
            <v>18.399999999999999</v>
          </cell>
          <cell r="D39">
            <v>24.1</v>
          </cell>
          <cell r="E39">
            <v>16.899999999999999</v>
          </cell>
          <cell r="F39">
            <v>28.6</v>
          </cell>
          <cell r="G39">
            <v>20.100000000000001</v>
          </cell>
          <cell r="H39">
            <v>26.3</v>
          </cell>
          <cell r="I39">
            <v>18.5</v>
          </cell>
          <cell r="J39">
            <v>31.2</v>
          </cell>
          <cell r="K39">
            <v>21.9</v>
          </cell>
          <cell r="L39">
            <v>28.7</v>
          </cell>
          <cell r="M39">
            <v>20.100000000000001</v>
          </cell>
        </row>
        <row r="40">
          <cell r="A40">
            <v>0.75</v>
          </cell>
          <cell r="B40">
            <v>29.1</v>
          </cell>
          <cell r="C40">
            <v>20.399999999999999</v>
          </cell>
          <cell r="D40">
            <v>26.8</v>
          </cell>
          <cell r="E40">
            <v>18.8</v>
          </cell>
          <cell r="F40">
            <v>31.6</v>
          </cell>
          <cell r="G40">
            <v>22.2</v>
          </cell>
          <cell r="H40">
            <v>29.1</v>
          </cell>
          <cell r="I40">
            <v>20.399999999999999</v>
          </cell>
          <cell r="J40">
            <v>34.4</v>
          </cell>
          <cell r="K40">
            <v>24.1</v>
          </cell>
          <cell r="L40">
            <v>31.6</v>
          </cell>
          <cell r="M40">
            <v>22.2</v>
          </cell>
        </row>
        <row r="41">
          <cell r="A41">
            <v>1.1000000000000001</v>
          </cell>
          <cell r="B41">
            <v>32.1</v>
          </cell>
          <cell r="C41">
            <v>22.5</v>
          </cell>
          <cell r="D41">
            <v>29.5</v>
          </cell>
          <cell r="E41">
            <v>20.7</v>
          </cell>
          <cell r="F41">
            <v>38.4</v>
          </cell>
          <cell r="G41">
            <v>24.4</v>
          </cell>
          <cell r="H41">
            <v>32</v>
          </cell>
          <cell r="I41">
            <v>22.4</v>
          </cell>
          <cell r="J41">
            <v>37.799999999999997</v>
          </cell>
          <cell r="K41">
            <v>26.1</v>
          </cell>
          <cell r="L41">
            <v>34.799999999999997</v>
          </cell>
          <cell r="M41">
            <v>24</v>
          </cell>
        </row>
        <row r="42">
          <cell r="A42">
            <v>1000</v>
          </cell>
          <cell r="B42">
            <v>32.1</v>
          </cell>
          <cell r="C42">
            <v>22.5</v>
          </cell>
          <cell r="D42">
            <v>29.5</v>
          </cell>
          <cell r="E42">
            <v>20.7</v>
          </cell>
          <cell r="F42">
            <v>38.4</v>
          </cell>
          <cell r="G42">
            <v>24.4</v>
          </cell>
          <cell r="H42">
            <v>32</v>
          </cell>
          <cell r="I42">
            <v>22.4</v>
          </cell>
          <cell r="J42">
            <v>37.799999999999997</v>
          </cell>
          <cell r="K42">
            <v>26.1</v>
          </cell>
          <cell r="L42">
            <v>34.799999999999997</v>
          </cell>
          <cell r="M42">
            <v>24</v>
          </cell>
        </row>
        <row r="47">
          <cell r="A47">
            <v>0.14000000000000001</v>
          </cell>
          <cell r="B47">
            <v>35</v>
          </cell>
          <cell r="C47">
            <v>28</v>
          </cell>
          <cell r="D47">
            <v>31</v>
          </cell>
          <cell r="E47">
            <v>25</v>
          </cell>
          <cell r="F47">
            <v>38</v>
          </cell>
          <cell r="G47">
            <v>31</v>
          </cell>
          <cell r="H47">
            <v>35</v>
          </cell>
          <cell r="I47">
            <v>28</v>
          </cell>
          <cell r="J47">
            <v>43</v>
          </cell>
          <cell r="K47">
            <v>35</v>
          </cell>
          <cell r="L47">
            <v>38</v>
          </cell>
          <cell r="M47">
            <v>31</v>
          </cell>
        </row>
        <row r="48">
          <cell r="A48">
            <v>0.17</v>
          </cell>
          <cell r="B48">
            <v>39</v>
          </cell>
          <cell r="C48">
            <v>31</v>
          </cell>
          <cell r="D48">
            <v>36</v>
          </cell>
          <cell r="E48">
            <v>28</v>
          </cell>
          <cell r="F48">
            <v>43</v>
          </cell>
          <cell r="G48">
            <v>35</v>
          </cell>
          <cell r="H48">
            <v>39</v>
          </cell>
          <cell r="I48">
            <v>31</v>
          </cell>
          <cell r="J48">
            <v>48</v>
          </cell>
          <cell r="K48">
            <v>38</v>
          </cell>
          <cell r="L48">
            <v>43</v>
          </cell>
          <cell r="M48">
            <v>35</v>
          </cell>
        </row>
        <row r="49">
          <cell r="A49">
            <v>0.21</v>
          </cell>
          <cell r="B49">
            <v>44</v>
          </cell>
          <cell r="C49">
            <v>37</v>
          </cell>
          <cell r="D49">
            <v>40</v>
          </cell>
          <cell r="E49">
            <v>33</v>
          </cell>
          <cell r="F49">
            <v>49</v>
          </cell>
          <cell r="G49">
            <v>40</v>
          </cell>
          <cell r="H49">
            <v>43</v>
          </cell>
          <cell r="I49">
            <v>36</v>
          </cell>
          <cell r="J49">
            <v>54</v>
          </cell>
          <cell r="K49">
            <v>44</v>
          </cell>
          <cell r="L49">
            <v>49</v>
          </cell>
          <cell r="M49">
            <v>40</v>
          </cell>
        </row>
        <row r="50">
          <cell r="A50">
            <v>0.25</v>
          </cell>
          <cell r="B50">
            <v>50</v>
          </cell>
          <cell r="C50">
            <v>41</v>
          </cell>
          <cell r="D50">
            <v>44</v>
          </cell>
          <cell r="E50">
            <v>37</v>
          </cell>
          <cell r="F50">
            <v>55</v>
          </cell>
          <cell r="G50">
            <v>45</v>
          </cell>
          <cell r="H50">
            <v>50</v>
          </cell>
          <cell r="I50">
            <v>41</v>
          </cell>
          <cell r="J50">
            <v>60</v>
          </cell>
          <cell r="K50">
            <v>50</v>
          </cell>
          <cell r="L50">
            <v>54</v>
          </cell>
          <cell r="M50">
            <v>44</v>
          </cell>
        </row>
        <row r="51">
          <cell r="A51">
            <v>0.32</v>
          </cell>
          <cell r="B51">
            <v>56</v>
          </cell>
          <cell r="C51">
            <v>46</v>
          </cell>
          <cell r="D51">
            <v>50</v>
          </cell>
          <cell r="E51">
            <v>42</v>
          </cell>
          <cell r="F51">
            <v>62</v>
          </cell>
          <cell r="G51">
            <v>50</v>
          </cell>
          <cell r="H51">
            <v>56</v>
          </cell>
          <cell r="I51">
            <v>45</v>
          </cell>
          <cell r="J51">
            <v>68</v>
          </cell>
          <cell r="K51">
            <v>56</v>
          </cell>
          <cell r="L51">
            <v>61</v>
          </cell>
          <cell r="M51">
            <v>50</v>
          </cell>
        </row>
        <row r="52">
          <cell r="A52">
            <v>0.39</v>
          </cell>
          <cell r="B52">
            <v>63</v>
          </cell>
          <cell r="C52">
            <v>51</v>
          </cell>
          <cell r="D52">
            <v>52</v>
          </cell>
          <cell r="E52">
            <v>46</v>
          </cell>
          <cell r="F52">
            <v>69</v>
          </cell>
          <cell r="G52">
            <v>57</v>
          </cell>
          <cell r="H52">
            <v>62</v>
          </cell>
          <cell r="I52">
            <v>50</v>
          </cell>
          <cell r="J52">
            <v>76</v>
          </cell>
          <cell r="K52">
            <v>62</v>
          </cell>
          <cell r="L52">
            <v>68</v>
          </cell>
          <cell r="M52">
            <v>56</v>
          </cell>
        </row>
        <row r="53">
          <cell r="A53">
            <v>0.49</v>
          </cell>
          <cell r="B53">
            <v>70</v>
          </cell>
          <cell r="C53">
            <v>57</v>
          </cell>
          <cell r="D53">
            <v>65</v>
          </cell>
          <cell r="E53">
            <v>51</v>
          </cell>
          <cell r="F53">
            <v>77</v>
          </cell>
          <cell r="G53">
            <v>63</v>
          </cell>
          <cell r="H53">
            <v>69</v>
          </cell>
          <cell r="I53">
            <v>57</v>
          </cell>
          <cell r="J53">
            <v>83</v>
          </cell>
          <cell r="K53">
            <v>68</v>
          </cell>
          <cell r="L53">
            <v>75</v>
          </cell>
          <cell r="M53">
            <v>61</v>
          </cell>
        </row>
        <row r="54">
          <cell r="A54">
            <v>0.75</v>
          </cell>
          <cell r="B54">
            <v>77</v>
          </cell>
          <cell r="C54">
            <v>63</v>
          </cell>
          <cell r="D54">
            <v>70</v>
          </cell>
          <cell r="E54">
            <v>57</v>
          </cell>
          <cell r="F54">
            <v>84</v>
          </cell>
          <cell r="G54">
            <v>70</v>
          </cell>
          <cell r="H54">
            <v>76</v>
          </cell>
          <cell r="I54">
            <v>63</v>
          </cell>
          <cell r="J54">
            <v>91</v>
          </cell>
          <cell r="K54">
            <v>76</v>
          </cell>
          <cell r="L54">
            <v>82</v>
          </cell>
          <cell r="M54">
            <v>68</v>
          </cell>
        </row>
        <row r="55">
          <cell r="A55">
            <v>1.1000000000000001</v>
          </cell>
          <cell r="B55">
            <v>85</v>
          </cell>
          <cell r="C55">
            <v>70</v>
          </cell>
          <cell r="D55">
            <v>77</v>
          </cell>
          <cell r="E55">
            <v>63</v>
          </cell>
          <cell r="F55">
            <v>93</v>
          </cell>
          <cell r="G55">
            <v>76</v>
          </cell>
          <cell r="H55">
            <v>84</v>
          </cell>
          <cell r="I55">
            <v>68</v>
          </cell>
          <cell r="J55">
            <v>101</v>
          </cell>
          <cell r="K55">
            <v>83</v>
          </cell>
          <cell r="L55">
            <v>90</v>
          </cell>
          <cell r="M55">
            <v>75</v>
          </cell>
        </row>
        <row r="56">
          <cell r="A56">
            <v>1000</v>
          </cell>
          <cell r="B56">
            <v>85</v>
          </cell>
          <cell r="C56">
            <v>70</v>
          </cell>
          <cell r="D56">
            <v>77</v>
          </cell>
          <cell r="E56">
            <v>63</v>
          </cell>
          <cell r="F56">
            <v>93</v>
          </cell>
          <cell r="G56">
            <v>76</v>
          </cell>
          <cell r="H56">
            <v>84</v>
          </cell>
          <cell r="I56">
            <v>68</v>
          </cell>
          <cell r="J56">
            <v>101</v>
          </cell>
          <cell r="K56">
            <v>83</v>
          </cell>
          <cell r="L56">
            <v>90</v>
          </cell>
          <cell r="M56">
            <v>75</v>
          </cell>
        </row>
        <row r="61">
          <cell r="A61">
            <v>0.14000000000000001</v>
          </cell>
          <cell r="B61">
            <v>24</v>
          </cell>
          <cell r="C61">
            <v>20</v>
          </cell>
          <cell r="D61">
            <v>22</v>
          </cell>
          <cell r="E61">
            <v>18</v>
          </cell>
          <cell r="F61">
            <v>27</v>
          </cell>
          <cell r="G61">
            <v>22</v>
          </cell>
          <cell r="H61">
            <v>24</v>
          </cell>
          <cell r="I61">
            <v>20</v>
          </cell>
          <cell r="J61">
            <v>30</v>
          </cell>
          <cell r="K61">
            <v>24</v>
          </cell>
          <cell r="L61">
            <v>27</v>
          </cell>
          <cell r="M61">
            <v>22</v>
          </cell>
        </row>
        <row r="62">
          <cell r="A62">
            <v>0.17</v>
          </cell>
          <cell r="B62">
            <v>28</v>
          </cell>
          <cell r="C62">
            <v>22</v>
          </cell>
          <cell r="D62">
            <v>25</v>
          </cell>
          <cell r="E62">
            <v>20</v>
          </cell>
          <cell r="F62">
            <v>30</v>
          </cell>
          <cell r="G62">
            <v>24</v>
          </cell>
          <cell r="H62">
            <v>27</v>
          </cell>
          <cell r="I62">
            <v>23</v>
          </cell>
          <cell r="J62">
            <v>34</v>
          </cell>
          <cell r="K62">
            <v>27</v>
          </cell>
          <cell r="L62">
            <v>30</v>
          </cell>
          <cell r="M62">
            <v>24</v>
          </cell>
        </row>
        <row r="63">
          <cell r="A63">
            <v>0.21</v>
          </cell>
          <cell r="B63">
            <v>31</v>
          </cell>
          <cell r="C63">
            <v>25</v>
          </cell>
          <cell r="D63">
            <v>28</v>
          </cell>
          <cell r="E63">
            <v>23</v>
          </cell>
          <cell r="F63">
            <v>35</v>
          </cell>
          <cell r="G63">
            <v>27</v>
          </cell>
          <cell r="H63">
            <v>31</v>
          </cell>
          <cell r="I63">
            <v>25</v>
          </cell>
          <cell r="J63">
            <v>38</v>
          </cell>
          <cell r="K63">
            <v>30</v>
          </cell>
          <cell r="L63">
            <v>35</v>
          </cell>
          <cell r="M63">
            <v>28</v>
          </cell>
        </row>
        <row r="64">
          <cell r="A64">
            <v>0.25</v>
          </cell>
          <cell r="B64">
            <v>35</v>
          </cell>
          <cell r="C64">
            <v>29</v>
          </cell>
          <cell r="D64">
            <v>32</v>
          </cell>
          <cell r="E64">
            <v>26</v>
          </cell>
          <cell r="F64">
            <v>39</v>
          </cell>
          <cell r="G64">
            <v>31</v>
          </cell>
          <cell r="H64">
            <v>35</v>
          </cell>
          <cell r="I64">
            <v>29</v>
          </cell>
          <cell r="J64">
            <v>43</v>
          </cell>
          <cell r="K64">
            <v>35</v>
          </cell>
          <cell r="L64">
            <v>39</v>
          </cell>
          <cell r="M64">
            <v>32</v>
          </cell>
        </row>
        <row r="65">
          <cell r="A65">
            <v>0.32</v>
          </cell>
          <cell r="B65">
            <v>39</v>
          </cell>
          <cell r="C65">
            <v>31</v>
          </cell>
          <cell r="D65">
            <v>35</v>
          </cell>
          <cell r="E65">
            <v>29</v>
          </cell>
          <cell r="F65">
            <v>43</v>
          </cell>
          <cell r="G65">
            <v>35</v>
          </cell>
          <cell r="H65">
            <v>39</v>
          </cell>
          <cell r="I65">
            <v>32</v>
          </cell>
          <cell r="J65">
            <v>49</v>
          </cell>
          <cell r="K65">
            <v>38</v>
          </cell>
          <cell r="L65">
            <v>43</v>
          </cell>
          <cell r="M65">
            <v>35</v>
          </cell>
        </row>
        <row r="66">
          <cell r="A66">
            <v>0.39</v>
          </cell>
          <cell r="B66">
            <v>44</v>
          </cell>
          <cell r="C66">
            <v>36</v>
          </cell>
          <cell r="D66">
            <v>40</v>
          </cell>
          <cell r="E66">
            <v>33</v>
          </cell>
          <cell r="F66">
            <v>49</v>
          </cell>
          <cell r="G66">
            <v>39</v>
          </cell>
          <cell r="H66">
            <v>43</v>
          </cell>
          <cell r="I66">
            <v>36</v>
          </cell>
          <cell r="J66">
            <v>53</v>
          </cell>
          <cell r="K66">
            <v>43</v>
          </cell>
          <cell r="L66">
            <v>48</v>
          </cell>
          <cell r="M66">
            <v>39</v>
          </cell>
        </row>
        <row r="67">
          <cell r="A67">
            <v>0.49</v>
          </cell>
          <cell r="B67">
            <v>50</v>
          </cell>
          <cell r="C67">
            <v>40</v>
          </cell>
          <cell r="D67">
            <v>44</v>
          </cell>
          <cell r="E67">
            <v>37</v>
          </cell>
          <cell r="F67">
            <v>54</v>
          </cell>
          <cell r="G67">
            <v>43</v>
          </cell>
          <cell r="H67">
            <v>49</v>
          </cell>
          <cell r="I67">
            <v>40</v>
          </cell>
          <cell r="J67">
            <v>59</v>
          </cell>
          <cell r="K67">
            <v>48</v>
          </cell>
          <cell r="L67">
            <v>53</v>
          </cell>
          <cell r="M67">
            <v>44</v>
          </cell>
        </row>
        <row r="68">
          <cell r="A68">
            <v>0.75</v>
          </cell>
          <cell r="B68">
            <v>55</v>
          </cell>
          <cell r="C68">
            <v>44</v>
          </cell>
          <cell r="D68">
            <v>50</v>
          </cell>
          <cell r="E68">
            <v>40</v>
          </cell>
          <cell r="F68">
            <v>60</v>
          </cell>
          <cell r="G68">
            <v>48</v>
          </cell>
          <cell r="H68">
            <v>54</v>
          </cell>
          <cell r="I68">
            <v>44</v>
          </cell>
          <cell r="J68">
            <v>65</v>
          </cell>
          <cell r="K68">
            <v>52</v>
          </cell>
          <cell r="L68">
            <v>58</v>
          </cell>
          <cell r="M68">
            <v>48</v>
          </cell>
        </row>
        <row r="69">
          <cell r="A69">
            <v>1.1000000000000001</v>
          </cell>
          <cell r="B69">
            <v>60</v>
          </cell>
          <cell r="C69">
            <v>49</v>
          </cell>
          <cell r="D69">
            <v>54</v>
          </cell>
          <cell r="E69">
            <v>44</v>
          </cell>
          <cell r="F69">
            <v>65</v>
          </cell>
          <cell r="G69">
            <v>53</v>
          </cell>
          <cell r="H69">
            <v>58</v>
          </cell>
          <cell r="I69">
            <v>49</v>
          </cell>
          <cell r="J69">
            <v>71</v>
          </cell>
          <cell r="K69">
            <v>57</v>
          </cell>
          <cell r="L69">
            <v>64</v>
          </cell>
          <cell r="M69">
            <v>53</v>
          </cell>
        </row>
        <row r="70">
          <cell r="A70">
            <v>1000</v>
          </cell>
          <cell r="B70">
            <v>60</v>
          </cell>
          <cell r="C70">
            <v>49</v>
          </cell>
          <cell r="D70">
            <v>54</v>
          </cell>
          <cell r="E70">
            <v>44</v>
          </cell>
          <cell r="F70">
            <v>65</v>
          </cell>
          <cell r="G70">
            <v>53</v>
          </cell>
          <cell r="H70">
            <v>58</v>
          </cell>
          <cell r="I70">
            <v>49</v>
          </cell>
          <cell r="J70">
            <v>71</v>
          </cell>
          <cell r="K70">
            <v>57</v>
          </cell>
          <cell r="L70">
            <v>64</v>
          </cell>
          <cell r="M70">
            <v>53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89">
          <cell r="A89">
            <v>0.14000000000000001</v>
          </cell>
          <cell r="B89">
            <v>21</v>
          </cell>
          <cell r="C89">
            <v>17</v>
          </cell>
          <cell r="D89">
            <v>19</v>
          </cell>
          <cell r="E89">
            <v>16</v>
          </cell>
          <cell r="F89">
            <v>23</v>
          </cell>
          <cell r="G89">
            <v>19</v>
          </cell>
          <cell r="H89">
            <v>22</v>
          </cell>
          <cell r="I89">
            <v>17</v>
          </cell>
          <cell r="J89">
            <v>26</v>
          </cell>
          <cell r="K89">
            <v>21</v>
          </cell>
          <cell r="L89">
            <v>24</v>
          </cell>
          <cell r="M89">
            <v>19</v>
          </cell>
        </row>
        <row r="90">
          <cell r="A90">
            <v>0.17</v>
          </cell>
          <cell r="B90">
            <v>24</v>
          </cell>
          <cell r="C90">
            <v>20</v>
          </cell>
          <cell r="D90">
            <v>23</v>
          </cell>
          <cell r="E90">
            <v>18</v>
          </cell>
          <cell r="F90">
            <v>27</v>
          </cell>
          <cell r="G90">
            <v>22</v>
          </cell>
          <cell r="H90">
            <v>24</v>
          </cell>
          <cell r="I90">
            <v>20</v>
          </cell>
          <cell r="J90">
            <v>30</v>
          </cell>
          <cell r="K90">
            <v>24</v>
          </cell>
          <cell r="L90">
            <v>27</v>
          </cell>
          <cell r="M90">
            <v>23</v>
          </cell>
        </row>
        <row r="91">
          <cell r="A91">
            <v>0.21</v>
          </cell>
          <cell r="B91">
            <v>28</v>
          </cell>
          <cell r="C91">
            <v>22</v>
          </cell>
          <cell r="D91">
            <v>25</v>
          </cell>
          <cell r="E91">
            <v>20</v>
          </cell>
          <cell r="F91">
            <v>30</v>
          </cell>
          <cell r="G91">
            <v>24</v>
          </cell>
          <cell r="H91">
            <v>28</v>
          </cell>
          <cell r="I91">
            <v>23</v>
          </cell>
          <cell r="J91">
            <v>34</v>
          </cell>
          <cell r="K91">
            <v>27</v>
          </cell>
          <cell r="L91">
            <v>31</v>
          </cell>
          <cell r="M91">
            <v>25</v>
          </cell>
        </row>
        <row r="92">
          <cell r="A92">
            <v>0.25</v>
          </cell>
          <cell r="B92">
            <v>30</v>
          </cell>
          <cell r="C92">
            <v>25</v>
          </cell>
          <cell r="D92">
            <v>28</v>
          </cell>
          <cell r="E92">
            <v>23</v>
          </cell>
          <cell r="F92">
            <v>34</v>
          </cell>
          <cell r="G92">
            <v>28</v>
          </cell>
          <cell r="H92">
            <v>31</v>
          </cell>
          <cell r="I92">
            <v>25</v>
          </cell>
          <cell r="J92">
            <v>37</v>
          </cell>
          <cell r="K92">
            <v>30</v>
          </cell>
          <cell r="L92">
            <v>35</v>
          </cell>
          <cell r="M92">
            <v>28</v>
          </cell>
        </row>
        <row r="93">
          <cell r="A93">
            <v>0.32</v>
          </cell>
          <cell r="B93">
            <v>35</v>
          </cell>
          <cell r="C93">
            <v>29</v>
          </cell>
          <cell r="D93">
            <v>32</v>
          </cell>
          <cell r="E93">
            <v>26</v>
          </cell>
          <cell r="F93">
            <v>38</v>
          </cell>
          <cell r="G93">
            <v>31</v>
          </cell>
          <cell r="H93">
            <v>35</v>
          </cell>
          <cell r="I93">
            <v>29</v>
          </cell>
          <cell r="J93">
            <v>42</v>
          </cell>
          <cell r="K93">
            <v>35</v>
          </cell>
          <cell r="L93">
            <v>38</v>
          </cell>
          <cell r="M93">
            <v>32</v>
          </cell>
        </row>
        <row r="94">
          <cell r="A94">
            <v>0.39</v>
          </cell>
          <cell r="B94">
            <v>39</v>
          </cell>
          <cell r="C94">
            <v>32</v>
          </cell>
          <cell r="D94">
            <v>36</v>
          </cell>
          <cell r="E94">
            <v>30</v>
          </cell>
          <cell r="F94">
            <v>43</v>
          </cell>
          <cell r="G94">
            <v>35</v>
          </cell>
          <cell r="H94">
            <v>39</v>
          </cell>
          <cell r="I94">
            <v>32</v>
          </cell>
          <cell r="J94">
            <v>47</v>
          </cell>
          <cell r="K94">
            <v>39</v>
          </cell>
          <cell r="L94">
            <v>43</v>
          </cell>
          <cell r="M94">
            <v>35</v>
          </cell>
        </row>
        <row r="95">
          <cell r="A95">
            <v>0.49</v>
          </cell>
          <cell r="B95">
            <v>43</v>
          </cell>
          <cell r="C95">
            <v>35</v>
          </cell>
          <cell r="D95">
            <v>39</v>
          </cell>
          <cell r="E95">
            <v>32</v>
          </cell>
          <cell r="F95">
            <v>47</v>
          </cell>
          <cell r="G95">
            <v>38</v>
          </cell>
          <cell r="H95">
            <v>43</v>
          </cell>
          <cell r="I95">
            <v>35</v>
          </cell>
          <cell r="J95">
            <v>51</v>
          </cell>
          <cell r="K95">
            <v>42</v>
          </cell>
          <cell r="L95">
            <v>47</v>
          </cell>
          <cell r="M95">
            <v>38</v>
          </cell>
        </row>
        <row r="96">
          <cell r="A96">
            <v>0.75</v>
          </cell>
          <cell r="B96">
            <v>48</v>
          </cell>
          <cell r="C96">
            <v>39</v>
          </cell>
          <cell r="D96">
            <v>44</v>
          </cell>
          <cell r="E96">
            <v>36</v>
          </cell>
          <cell r="F96">
            <v>52</v>
          </cell>
          <cell r="G96">
            <v>43</v>
          </cell>
          <cell r="H96">
            <v>48</v>
          </cell>
          <cell r="I96">
            <v>39</v>
          </cell>
          <cell r="J96">
            <v>57</v>
          </cell>
          <cell r="K96">
            <v>46</v>
          </cell>
          <cell r="L96">
            <v>52</v>
          </cell>
          <cell r="M96">
            <v>43</v>
          </cell>
        </row>
        <row r="97">
          <cell r="A97">
            <v>1.1000000000000001</v>
          </cell>
          <cell r="B97">
            <v>53</v>
          </cell>
          <cell r="C97">
            <v>43</v>
          </cell>
          <cell r="D97">
            <v>48</v>
          </cell>
          <cell r="E97">
            <v>40</v>
          </cell>
          <cell r="F97">
            <v>57</v>
          </cell>
          <cell r="G97">
            <v>47</v>
          </cell>
          <cell r="H97">
            <v>53</v>
          </cell>
          <cell r="I97">
            <v>43</v>
          </cell>
          <cell r="J97">
            <v>63</v>
          </cell>
          <cell r="K97">
            <v>50</v>
          </cell>
          <cell r="L97">
            <v>57</v>
          </cell>
          <cell r="M97">
            <v>46</v>
          </cell>
        </row>
        <row r="98">
          <cell r="A98">
            <v>1000</v>
          </cell>
          <cell r="B98">
            <v>53</v>
          </cell>
          <cell r="C98">
            <v>43</v>
          </cell>
          <cell r="D98">
            <v>48</v>
          </cell>
          <cell r="E98">
            <v>40</v>
          </cell>
          <cell r="F98">
            <v>57</v>
          </cell>
          <cell r="G98">
            <v>47</v>
          </cell>
          <cell r="H98">
            <v>53</v>
          </cell>
          <cell r="I98">
            <v>43</v>
          </cell>
          <cell r="J98">
            <v>63</v>
          </cell>
          <cell r="K98">
            <v>50</v>
          </cell>
          <cell r="L98">
            <v>57</v>
          </cell>
          <cell r="M98">
            <v>46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6"/>
      <sheetData sheetId="7"/>
      <sheetData sheetId="8"/>
      <sheetData sheetId="9"/>
      <sheetData sheetId="10"/>
      <sheetData sheetId="11">
        <row r="2">
          <cell r="A2" t="str">
            <v>BA</v>
          </cell>
          <cell r="C2" t="str">
            <v>Баланси</v>
          </cell>
        </row>
        <row r="3">
          <cell r="A3" t="str">
            <v>BL</v>
          </cell>
          <cell r="C3" t="str">
            <v>Будліс</v>
          </cell>
        </row>
        <row r="4">
          <cell r="A4" t="str">
            <v>DP</v>
          </cell>
          <cell r="C4" t="str">
            <v>Дрова_паливні</v>
          </cell>
        </row>
        <row r="5">
          <cell r="A5" t="str">
            <v>FL</v>
          </cell>
          <cell r="C5" t="str">
            <v>Пиловник</v>
          </cell>
        </row>
        <row r="6">
          <cell r="A6" t="str">
            <v>FS</v>
          </cell>
          <cell r="C6" t="str">
            <v>Техсировина</v>
          </cell>
        </row>
        <row r="7">
          <cell r="A7" t="str">
            <v>PP</v>
          </cell>
          <cell r="C7" t="str">
            <v>Фансировина</v>
          </cell>
        </row>
        <row r="8">
          <cell r="A8" t="str">
            <v>PT</v>
          </cell>
          <cell r="C8" t="str">
            <v>Хворост</v>
          </cell>
        </row>
        <row r="9">
          <cell r="A9" t="str">
            <v>TC</v>
          </cell>
          <cell r="C9" t="str">
            <v>Хмиз</v>
          </cell>
        </row>
        <row r="10">
          <cell r="A10" t="str">
            <v>TS</v>
          </cell>
          <cell r="C10" t="str">
            <v>Хворост Нелеквідний</v>
          </cell>
        </row>
      </sheetData>
      <sheetData sheetId="12"/>
      <sheetData sheetId="13">
        <row r="2">
          <cell r="A2" t="str">
            <v>ОСВ</v>
          </cell>
          <cell r="B2" t="str">
            <v>РГК</v>
          </cell>
          <cell r="N2" t="str">
            <v>Додаток</v>
          </cell>
        </row>
        <row r="3">
          <cell r="A3" t="str">
            <v>ПРЧ</v>
          </cell>
          <cell r="B3" t="str">
            <v>РД</v>
          </cell>
          <cell r="N3" t="str">
            <v>Акт</v>
          </cell>
        </row>
        <row r="4">
          <cell r="A4" t="str">
            <v>ПРЖ</v>
          </cell>
          <cell r="B4" t="str">
            <v>Молодняк</v>
          </cell>
          <cell r="N4" t="str">
            <v>ДодатокДоАкту</v>
          </cell>
        </row>
        <row r="5">
          <cell r="A5" t="str">
            <v>ПРХ</v>
          </cell>
          <cell r="B5" t="str">
            <v>Техкарты</v>
          </cell>
        </row>
        <row r="6">
          <cell r="A6" t="str">
            <v>СРВ</v>
          </cell>
          <cell r="B6" t="str">
            <v>Расчет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>
        <row r="1">
          <cell r="A1" t="str">
            <v>{Лісгосп}</v>
          </cell>
          <cell r="B1" t="str">
            <v>{ДиректорЛГ}</v>
          </cell>
          <cell r="C1" t="str">
            <v>{ПовнеЛісгосп}</v>
          </cell>
          <cell r="D1" t="str">
            <v>{ПосадаЛГ}</v>
          </cell>
          <cell r="E1" t="str">
            <v>{ПовнеДиректорЛГ}</v>
          </cell>
          <cell r="F1" t="str">
            <v>{Підстава}</v>
          </cell>
          <cell r="G1" t="str">
            <v>{ДиректораЛГ}</v>
          </cell>
          <cell r="H1" t="str">
            <v>{ПосадиЛГ}</v>
          </cell>
          <cell r="I1" t="str">
            <v>Адреса</v>
          </cell>
          <cell r="J1" t="str">
            <v xml:space="preserve"> ІПН</v>
          </cell>
          <cell r="K1" t="str">
            <v>р/р</v>
          </cell>
          <cell r="L1" t="str">
            <v>ЄДРПОУ</v>
          </cell>
          <cell r="M1" t="str">
            <v>Місто</v>
          </cell>
        </row>
        <row r="2">
          <cell r="A2" t="str">
            <v>ДП «Звенигородське лісове господарство»</v>
          </cell>
        </row>
        <row r="3">
          <cell r="A3" t="str">
            <v>ррпрпр</v>
          </cell>
        </row>
      </sheetData>
      <sheetData sheetId="15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A10" t="str">
            <v>МедзяновськийЕ.О.</v>
          </cell>
          <cell r="E10" t="str">
            <v>Юрченко С.М.</v>
          </cell>
          <cell r="F10" t="str">
            <v>Скрипник І.І.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6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Степовий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  <row r="11">
          <cell r="A11" t="str">
            <v>ЛІСІВНЕ</v>
          </cell>
          <cell r="B11" t="str">
            <v>ПП "ЛІСІВНЕ"</v>
          </cell>
        </row>
      </sheetData>
      <sheetData sheetId="17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</row>
        <row r="2">
          <cell r="A2" t="str">
            <v>ДП «Звенигородське лісове господарство»</v>
          </cell>
          <cell r="B2" t="str">
            <v>Катеринопільське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B3" t="str">
            <v>Козачанське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B4" t="str">
            <v>Вільхівецьке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B5" t="str">
            <v>Пехівське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B6" t="str">
            <v>Хлипнівське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B7" t="str">
            <v>Шполянське</v>
          </cell>
          <cell r="C7">
            <v>14</v>
          </cell>
        </row>
      </sheetData>
      <sheetData sheetId="18"/>
      <sheetData sheetId="19"/>
      <sheetData sheetId="20"/>
      <sheetData sheetId="21"/>
      <sheetData sheetId="22">
        <row r="1">
          <cell r="F1" t="str">
            <v>ВибМасса1Га</v>
          </cell>
          <cell r="G1" t="str">
            <v>Хворост2Мяк</v>
          </cell>
          <cell r="H1" t="str">
            <v>Хворост2Тв</v>
          </cell>
          <cell r="I1" t="str">
            <v>Хворост2Кол</v>
          </cell>
          <cell r="J1" t="str">
            <v>Хворост1Мяк</v>
          </cell>
          <cell r="K1" t="str">
            <v>Хворост1Кол</v>
          </cell>
          <cell r="L1" t="str">
            <v>Хворост2Мех</v>
          </cell>
          <cell r="M1" t="str">
            <v>Хворост1Мех</v>
          </cell>
        </row>
        <row r="2">
          <cell r="A2">
            <v>2.5</v>
          </cell>
          <cell r="B2">
            <v>8.1999999999999993</v>
          </cell>
          <cell r="C2">
            <v>6.2</v>
          </cell>
          <cell r="E2">
            <v>17.5</v>
          </cell>
          <cell r="F2">
            <v>5</v>
          </cell>
          <cell r="G2">
            <v>5.2</v>
          </cell>
          <cell r="H2">
            <v>4</v>
          </cell>
          <cell r="J2">
            <v>5.8</v>
          </cell>
          <cell r="K2">
            <v>4.4000000000000004</v>
          </cell>
          <cell r="L2">
            <v>25.9</v>
          </cell>
          <cell r="M2">
            <v>29.3</v>
          </cell>
        </row>
        <row r="3">
          <cell r="A3">
            <v>4</v>
          </cell>
          <cell r="B3">
            <v>9.6</v>
          </cell>
          <cell r="C3">
            <v>7.6</v>
          </cell>
          <cell r="E3">
            <v>20.6</v>
          </cell>
          <cell r="F3">
            <v>9</v>
          </cell>
          <cell r="G3">
            <v>6.3</v>
          </cell>
          <cell r="H3">
            <v>4.8</v>
          </cell>
          <cell r="J3">
            <v>7.1</v>
          </cell>
          <cell r="K3">
            <v>5.4</v>
          </cell>
          <cell r="L3">
            <v>31.4</v>
          </cell>
          <cell r="M3">
            <v>35.700000000000003</v>
          </cell>
        </row>
        <row r="4">
          <cell r="A4">
            <v>6</v>
          </cell>
          <cell r="B4">
            <v>11.1</v>
          </cell>
          <cell r="C4">
            <v>8.8000000000000007</v>
          </cell>
          <cell r="E4">
            <v>23.6</v>
          </cell>
          <cell r="F4">
            <v>16</v>
          </cell>
          <cell r="G4">
            <v>7.4</v>
          </cell>
          <cell r="H4">
            <v>5.6</v>
          </cell>
          <cell r="J4">
            <v>8.3000000000000007</v>
          </cell>
          <cell r="K4">
            <v>6.4</v>
          </cell>
          <cell r="L4">
            <v>36.9</v>
          </cell>
          <cell r="M4">
            <v>41.9</v>
          </cell>
        </row>
        <row r="5">
          <cell r="A5">
            <v>9</v>
          </cell>
          <cell r="B5">
            <v>12.8</v>
          </cell>
          <cell r="C5">
            <v>10.1</v>
          </cell>
          <cell r="E5">
            <v>27.2</v>
          </cell>
          <cell r="F5">
            <v>30</v>
          </cell>
          <cell r="G5">
            <v>8.6</v>
          </cell>
          <cell r="H5">
            <v>6.7</v>
          </cell>
          <cell r="J5">
            <v>9.6</v>
          </cell>
          <cell r="K5">
            <v>7.4</v>
          </cell>
          <cell r="L5">
            <v>42.9</v>
          </cell>
          <cell r="M5">
            <v>48.6</v>
          </cell>
        </row>
        <row r="6">
          <cell r="A6">
            <v>13</v>
          </cell>
          <cell r="B6">
            <v>14.5</v>
          </cell>
          <cell r="C6">
            <v>11.2</v>
          </cell>
          <cell r="E6">
            <v>30.8</v>
          </cell>
          <cell r="F6">
            <v>34</v>
          </cell>
          <cell r="G6">
            <v>8.9</v>
          </cell>
          <cell r="H6">
            <v>7</v>
          </cell>
          <cell r="J6">
            <v>9.9</v>
          </cell>
          <cell r="K6">
            <v>7.6</v>
          </cell>
          <cell r="L6">
            <v>44.1</v>
          </cell>
          <cell r="M6">
            <v>50</v>
          </cell>
        </row>
        <row r="7">
          <cell r="A7">
            <v>1000</v>
          </cell>
          <cell r="B7">
            <v>14.5</v>
          </cell>
          <cell r="C7">
            <v>11.2</v>
          </cell>
          <cell r="E7">
            <v>30.8</v>
          </cell>
          <cell r="F7">
            <v>1000</v>
          </cell>
          <cell r="G7">
            <v>8.9</v>
          </cell>
          <cell r="H7">
            <v>7</v>
          </cell>
          <cell r="J7">
            <v>9.9</v>
          </cell>
          <cell r="K7">
            <v>7.6</v>
          </cell>
          <cell r="L7">
            <v>44.1</v>
          </cell>
          <cell r="M7">
            <v>50</v>
          </cell>
        </row>
      </sheetData>
      <sheetData sheetId="23"/>
      <sheetData sheetId="24"/>
      <sheetData sheetId="25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  <row r="11">
          <cell r="A11">
            <v>43101</v>
          </cell>
        </row>
      </sheetData>
      <sheetData sheetId="26">
        <row r="2">
          <cell r="B2">
            <v>0.88</v>
          </cell>
        </row>
        <row r="3">
          <cell r="B3">
            <v>7.7</v>
          </cell>
        </row>
        <row r="4">
          <cell r="B4">
            <v>7</v>
          </cell>
        </row>
        <row r="5">
          <cell r="B5" t="str">
            <v>Важкі</v>
          </cell>
          <cell r="C5" t="str">
            <v>Нормальні</v>
          </cell>
        </row>
        <row r="6">
          <cell r="B6">
            <v>43101</v>
          </cell>
        </row>
        <row r="17">
          <cell r="B17" t="str">
            <v>Хлипнівське</v>
          </cell>
        </row>
        <row r="19">
          <cell r="B19">
            <v>151</v>
          </cell>
        </row>
        <row r="20">
          <cell r="B20" t="str">
            <v>10_0</v>
          </cell>
        </row>
        <row r="22">
          <cell r="B22">
            <v>9.8000000000000007</v>
          </cell>
        </row>
        <row r="23">
          <cell r="B23">
            <v>29.481999999999999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 t="str">
            <v>29 грн. 482 коп.</v>
          </cell>
        </row>
        <row r="28">
          <cell r="B28" t="str">
            <v>0 грн. 000 коп.</v>
          </cell>
        </row>
        <row r="29">
          <cell r="B29" t="str">
            <v>0 грн. 000 коп.</v>
          </cell>
        </row>
        <row r="30">
          <cell r="B30" t="str">
            <v>0 грн. 00 коп.</v>
          </cell>
        </row>
        <row r="31">
          <cell r="B31">
            <v>7665.32</v>
          </cell>
        </row>
        <row r="35">
          <cell r="B35" t="str">
            <v>14.11.2013</v>
          </cell>
        </row>
        <row r="49">
          <cell r="B49" t="str">
            <v>Морозова</v>
          </cell>
        </row>
        <row r="62">
          <cell r="B62" t="str">
            <v>14.11.2013</v>
          </cell>
        </row>
        <row r="63">
          <cell r="B63" t="str">
            <v>07\Шп\7_7_СТЛ-2017/2</v>
          </cell>
        </row>
        <row r="68">
          <cell r="B68">
            <v>276</v>
          </cell>
        </row>
        <row r="80">
          <cell r="B80">
            <v>3691.8</v>
          </cell>
        </row>
        <row r="82">
          <cell r="B82">
            <v>724.86</v>
          </cell>
        </row>
        <row r="84">
          <cell r="B84">
            <v>17080.189999999999</v>
          </cell>
        </row>
        <row r="86">
          <cell r="B86">
            <v>260</v>
          </cell>
        </row>
        <row r="93">
          <cell r="B93" t="str">
            <v>РГК</v>
          </cell>
        </row>
        <row r="97">
          <cell r="B97">
            <v>1.05</v>
          </cell>
        </row>
        <row r="99">
          <cell r="B99" t="str">
            <v>0</v>
          </cell>
        </row>
        <row r="100">
          <cell r="B100" t="str">
            <v>10</v>
          </cell>
        </row>
      </sheetData>
      <sheetData sheetId="27"/>
      <sheetData sheetId="28"/>
      <sheetData sheetId="29">
        <row r="3">
          <cell r="A3" t="str">
            <v>Хлипнівське</v>
          </cell>
          <cell r="G3">
            <v>3</v>
          </cell>
          <cell r="K3">
            <v>30</v>
          </cell>
        </row>
        <row r="4">
          <cell r="L4">
            <v>0</v>
          </cell>
          <cell r="Q4">
            <v>10</v>
          </cell>
        </row>
        <row r="5">
          <cell r="M5" t="str">
            <v>Морозова ФОП</v>
          </cell>
          <cell r="N5">
            <v>1.2150000000000001</v>
          </cell>
          <cell r="P5" t="b">
            <v>0</v>
          </cell>
        </row>
        <row r="66">
          <cell r="W66">
            <v>1</v>
          </cell>
        </row>
        <row r="67">
          <cell r="W67">
            <v>4578.12</v>
          </cell>
        </row>
      </sheetData>
      <sheetData sheetId="30">
        <row r="2">
          <cell r="A2" t="str">
            <v>Пехівське</v>
          </cell>
          <cell r="G2">
            <v>3.5</v>
          </cell>
          <cell r="I2">
            <v>1317</v>
          </cell>
          <cell r="L2">
            <v>749</v>
          </cell>
        </row>
        <row r="4">
          <cell r="L4">
            <v>0.56999999999999995</v>
          </cell>
          <cell r="Q4">
            <v>232</v>
          </cell>
        </row>
        <row r="5">
          <cell r="B5" t="str">
            <v>Важкі</v>
          </cell>
          <cell r="K5">
            <v>1</v>
          </cell>
          <cell r="M5" t="str">
            <v>Морозова</v>
          </cell>
          <cell r="N5">
            <v>1.2150000000000001</v>
          </cell>
          <cell r="P5">
            <v>63</v>
          </cell>
        </row>
        <row r="64">
          <cell r="O64">
            <v>0</v>
          </cell>
        </row>
      </sheetData>
      <sheetData sheetId="31">
        <row r="2">
          <cell r="A2" t="str">
            <v>Шполянське</v>
          </cell>
          <cell r="G2" t="str">
            <v>2,4</v>
          </cell>
          <cell r="L2">
            <v>134</v>
          </cell>
          <cell r="O2">
            <v>28</v>
          </cell>
        </row>
        <row r="3">
          <cell r="O3">
            <v>4</v>
          </cell>
        </row>
        <row r="5">
          <cell r="B5">
            <v>3</v>
          </cell>
          <cell r="M5" t="str">
            <v>ФОП Степовий О.Є.</v>
          </cell>
          <cell r="N5">
            <v>1.2150000000000001</v>
          </cell>
        </row>
        <row r="71">
          <cell r="F71">
            <v>124.295</v>
          </cell>
          <cell r="O71">
            <v>3009.78</v>
          </cell>
        </row>
      </sheetData>
      <sheetData sheetId="32"/>
      <sheetData sheetId="33"/>
      <sheetData sheetId="34"/>
      <sheetData sheetId="35"/>
      <sheetData sheetId="36">
        <row r="2">
          <cell r="F2" t="str">
            <v>ялина</v>
          </cell>
        </row>
        <row r="3">
          <cell r="F3" t="str">
            <v>дуб</v>
          </cell>
        </row>
        <row r="4">
          <cell r="F4" t="str">
            <v>ясен</v>
          </cell>
        </row>
        <row r="5">
          <cell r="F5" t="str">
            <v>клен</v>
          </cell>
        </row>
        <row r="6">
          <cell r="F6" t="str">
            <v>граб</v>
          </cell>
        </row>
        <row r="7">
          <cell r="F7" t="str">
            <v>береза</v>
          </cell>
        </row>
        <row r="8">
          <cell r="F8" t="str">
            <v>вiльха</v>
          </cell>
        </row>
        <row r="9">
          <cell r="F9" t="str">
            <v>осика</v>
          </cell>
        </row>
        <row r="10">
          <cell r="F10" t="str">
            <v>тополя</v>
          </cell>
        </row>
        <row r="11">
          <cell r="F11" t="str">
            <v>ялиця</v>
          </cell>
        </row>
        <row r="12">
          <cell r="F12" t="str">
            <v>бук одновiковий</v>
          </cell>
        </row>
        <row r="13">
          <cell r="F13" t="str">
            <v>сосна</v>
          </cell>
        </row>
        <row r="14">
          <cell r="F14" t="str">
            <v>бук рiзновiковий</v>
          </cell>
        </row>
        <row r="15">
          <cell r="F15" t="str">
            <v>липа</v>
          </cell>
        </row>
        <row r="16">
          <cell r="F16" t="str">
            <v>акацiя бiла</v>
          </cell>
        </row>
        <row r="17">
          <cell r="F17" t="str">
            <v>черемха</v>
          </cell>
        </row>
        <row r="18">
          <cell r="F18" t="str">
            <v>берест</v>
          </cell>
        </row>
        <row r="19">
          <cell r="F19" t="str">
            <v>модрина</v>
          </cell>
        </row>
        <row r="20">
          <cell r="F20" t="str">
            <v>в'яз</v>
          </cell>
        </row>
        <row r="21">
          <cell r="F21" t="str">
            <v>явiр</v>
          </cell>
        </row>
        <row r="22">
          <cell r="F22" t="str">
            <v>черешня</v>
          </cell>
        </row>
        <row r="23">
          <cell r="F23" t="str">
            <v>дуб.черв</v>
          </cell>
        </row>
        <row r="24">
          <cell r="F24" t="str">
            <v>лiщина</v>
          </cell>
        </row>
        <row r="25">
          <cell r="F25" t="str">
            <v>горобина</v>
          </cell>
        </row>
        <row r="26">
          <cell r="F26" t="str">
            <v>горiх</v>
          </cell>
        </row>
        <row r="27">
          <cell r="F27" t="str">
            <v>верба</v>
          </cell>
        </row>
        <row r="28">
          <cell r="F28" t="str">
            <v>ялина верхн.гiрська</v>
          </cell>
        </row>
        <row r="29">
          <cell r="F29" t="str">
            <v>ялина середн.гiрська</v>
          </cell>
        </row>
        <row r="30">
          <cell r="F30" t="str">
            <v>бук рiзновiковий</v>
          </cell>
        </row>
      </sheetData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2" t="str">
            <v>ОСВ</v>
          </cell>
        </row>
        <row r="3">
          <cell r="A3" t="str">
            <v>ПРЧ</v>
          </cell>
        </row>
        <row r="4">
          <cell r="A4" t="str">
            <v>ПРЖ</v>
          </cell>
        </row>
        <row r="5">
          <cell r="A5" t="str">
            <v>ПРХ</v>
          </cell>
        </row>
        <row r="6">
          <cell r="A6" t="str">
            <v>СРВ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B2">
            <v>0.88</v>
          </cell>
        </row>
        <row r="6">
          <cell r="B6">
            <v>42736</v>
          </cell>
        </row>
        <row r="97">
          <cell r="B97">
            <v>1.05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_Звен_бланки_2018_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8"/>
      <sheetData sheetId="9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10"/>
      <sheetData sheetId="11">
        <row r="4">
          <cell r="B4">
            <v>200</v>
          </cell>
          <cell r="C4">
            <v>0</v>
          </cell>
          <cell r="D4">
            <v>0</v>
          </cell>
          <cell r="E4">
            <v>0</v>
          </cell>
          <cell r="F4">
            <v>300</v>
          </cell>
          <cell r="G4">
            <v>0</v>
          </cell>
          <cell r="H4">
            <v>0</v>
          </cell>
          <cell r="I4">
            <v>0</v>
          </cell>
          <cell r="J4">
            <v>1000</v>
          </cell>
          <cell r="K4">
            <v>0</v>
          </cell>
          <cell r="L4">
            <v>0</v>
          </cell>
          <cell r="M4">
            <v>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2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D6">
            <v>0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D7">
            <v>0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D8">
            <v>0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D9">
            <v>0</v>
          </cell>
          <cell r="E9" t="str">
            <v>Тихолоз С.Т.</v>
          </cell>
          <cell r="F9" t="str">
            <v>Пряжка В.В.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 t="str">
            <v>Юрченко С.М.</v>
          </cell>
          <cell r="F10" t="str">
            <v>Скрипник І.І.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 t="str">
            <v>Демчук О.О.</v>
          </cell>
          <cell r="F11" t="str">
            <v>Скрипник С.І.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 t="str">
            <v>Скрипник Т.М.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3"/>
      <sheetData sheetId="14"/>
      <sheetData sheetId="15">
        <row r="1">
          <cell r="G1">
            <v>1</v>
          </cell>
        </row>
        <row r="3">
          <cell r="B3">
            <v>90</v>
          </cell>
        </row>
        <row r="4">
          <cell r="B4" t="str">
            <v>5_0</v>
          </cell>
        </row>
        <row r="12">
          <cell r="I12">
            <v>556627</v>
          </cell>
          <cell r="L12" t="str">
            <v>90 кв (5 вид) 0 діл.</v>
          </cell>
        </row>
      </sheetData>
      <sheetData sheetId="16">
        <row r="1">
          <cell r="G1">
            <v>1</v>
          </cell>
          <cell r="H1" t="str">
            <v>Шп</v>
          </cell>
          <cell r="I1">
            <v>1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982</v>
          </cell>
        </row>
        <row r="3">
          <cell r="B3">
            <v>121</v>
          </cell>
          <cell r="I3">
            <v>1001</v>
          </cell>
        </row>
        <row r="4">
          <cell r="B4" t="str">
            <v>1_2</v>
          </cell>
          <cell r="I4">
            <v>61</v>
          </cell>
        </row>
        <row r="5">
          <cell r="B5">
            <v>2.6</v>
          </cell>
          <cell r="I5">
            <v>940</v>
          </cell>
        </row>
        <row r="6">
          <cell r="B6" t="str">
            <v>РГК</v>
          </cell>
          <cell r="I6">
            <v>385</v>
          </cell>
          <cell r="L6" t="str">
            <v>Так</v>
          </cell>
        </row>
        <row r="7">
          <cell r="B7" t="str">
            <v>Важкі</v>
          </cell>
          <cell r="I7">
            <v>0.96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43109</v>
          </cell>
        </row>
        <row r="10">
          <cell r="B10">
            <v>7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556618</v>
          </cell>
          <cell r="L12" t="str">
            <v>121 кв (1 вид) 2 діл.</v>
          </cell>
        </row>
        <row r="13">
          <cell r="B13" t="str">
            <v>Яз</v>
          </cell>
        </row>
        <row r="79">
          <cell r="L79">
            <v>62940.52</v>
          </cell>
        </row>
      </sheetData>
      <sheetData sheetId="17">
        <row r="1">
          <cell r="G1">
            <v>1</v>
          </cell>
          <cell r="H1" t="str">
            <v>Кат</v>
          </cell>
          <cell r="I1">
            <v>13</v>
          </cell>
          <cell r="J1">
            <v>1</v>
          </cell>
          <cell r="K1" t="str">
            <v>ЛІС-18</v>
          </cell>
        </row>
        <row r="2">
          <cell r="B2" t="str">
            <v>Катеринопільське</v>
          </cell>
          <cell r="I2">
            <v>45</v>
          </cell>
        </row>
        <row r="3">
          <cell r="B3">
            <v>125</v>
          </cell>
          <cell r="I3">
            <v>47</v>
          </cell>
        </row>
        <row r="4">
          <cell r="B4" t="str">
            <v>26_1</v>
          </cell>
          <cell r="I4">
            <v>1</v>
          </cell>
        </row>
        <row r="5">
          <cell r="B5">
            <v>0.5</v>
          </cell>
          <cell r="I5">
            <v>46</v>
          </cell>
        </row>
        <row r="6">
          <cell r="B6" t="str">
            <v>РД</v>
          </cell>
          <cell r="I6">
            <v>94</v>
          </cell>
        </row>
        <row r="7">
          <cell r="I7">
            <v>1.02</v>
          </cell>
        </row>
        <row r="8">
          <cell r="B8">
            <v>43101</v>
          </cell>
          <cell r="I8">
            <v>0</v>
          </cell>
        </row>
        <row r="9">
          <cell r="L9">
            <v>43125</v>
          </cell>
        </row>
        <row r="10">
          <cell r="I10">
            <v>3</v>
          </cell>
        </row>
        <row r="12">
          <cell r="I12">
            <v>556649</v>
          </cell>
          <cell r="L12" t="str">
            <v>125 кв (26 вид) 1 діл.</v>
          </cell>
        </row>
        <row r="13">
          <cell r="I13">
            <v>43125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46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68">
          <cell r="L68">
            <v>2931.0740000000001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B2" t="str">
            <v>Катеринопільське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B3" t="str">
            <v>Козачанське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B4" t="str">
            <v>Вільхівецьке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B5" t="str">
            <v>Пехівське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B6" t="str">
            <v>Хлипнівське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A9">
            <v>0</v>
          </cell>
          <cell r="B9" t="e">
            <v>#VALUE!</v>
          </cell>
        </row>
        <row r="10">
          <cell r="A10">
            <v>0</v>
          </cell>
          <cell r="B10">
            <v>0</v>
          </cell>
          <cell r="C10">
            <v>1</v>
          </cell>
        </row>
        <row r="11">
          <cell r="A11">
            <v>0</v>
          </cell>
          <cell r="B11">
            <v>0</v>
          </cell>
        </row>
        <row r="12">
          <cell r="A12">
            <v>0</v>
          </cell>
          <cell r="B12">
            <v>0</v>
          </cell>
        </row>
        <row r="13">
          <cell r="A13">
            <v>0</v>
          </cell>
          <cell r="B13">
            <v>0</v>
          </cell>
        </row>
        <row r="14">
          <cell r="A14">
            <v>0</v>
          </cell>
          <cell r="B14">
            <v>0</v>
          </cell>
        </row>
        <row r="15">
          <cell r="A15">
            <v>0</v>
          </cell>
          <cell r="B15">
            <v>0</v>
          </cell>
        </row>
        <row r="16">
          <cell r="A16">
            <v>0</v>
          </cell>
          <cell r="B16">
            <v>0</v>
          </cell>
        </row>
        <row r="17">
          <cell r="A17">
            <v>0</v>
          </cell>
          <cell r="B17">
            <v>0</v>
          </cell>
        </row>
        <row r="18">
          <cell r="A18">
            <v>0</v>
          </cell>
          <cell r="B18">
            <v>0</v>
          </cell>
        </row>
        <row r="19">
          <cell r="A19">
            <v>0</v>
          </cell>
          <cell r="B19">
            <v>0</v>
          </cell>
        </row>
        <row r="20">
          <cell r="A20">
            <v>0</v>
          </cell>
          <cell r="B20">
            <v>0</v>
          </cell>
        </row>
        <row r="21">
          <cell r="A21">
            <v>0</v>
          </cell>
          <cell r="B21">
            <v>0</v>
          </cell>
        </row>
        <row r="22">
          <cell r="A22">
            <v>0</v>
          </cell>
          <cell r="B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</row>
        <row r="26">
          <cell r="A26">
            <v>0</v>
          </cell>
          <cell r="B26">
            <v>0</v>
          </cell>
        </row>
        <row r="27">
          <cell r="A27">
            <v>0</v>
          </cell>
          <cell r="B27">
            <v>0</v>
          </cell>
        </row>
        <row r="28">
          <cell r="A28">
            <v>0</v>
          </cell>
          <cell r="B28">
            <v>0</v>
          </cell>
        </row>
        <row r="29">
          <cell r="A29">
            <v>0</v>
          </cell>
          <cell r="B29">
            <v>0</v>
          </cell>
        </row>
        <row r="30">
          <cell r="A30">
            <v>0</v>
          </cell>
          <cell r="B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  <cell r="B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8"/>
      <sheetData sheetId="9"/>
      <sheetData sheetId="10"/>
      <sheetData sheetId="11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2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3"/>
      <sheetData sheetId="14"/>
      <sheetData sheetId="15">
        <row r="1">
          <cell r="G1">
            <v>12</v>
          </cell>
        </row>
        <row r="2">
          <cell r="B2" t="str">
            <v>Козачанське</v>
          </cell>
        </row>
        <row r="3">
          <cell r="B3">
            <v>36</v>
          </cell>
          <cell r="I3">
            <v>75</v>
          </cell>
        </row>
        <row r="4">
          <cell r="B4" t="str">
            <v>13_0</v>
          </cell>
        </row>
        <row r="6">
          <cell r="I6">
            <v>13</v>
          </cell>
        </row>
        <row r="10">
          <cell r="L10">
            <v>5</v>
          </cell>
        </row>
        <row r="12">
          <cell r="I12">
            <v>556634</v>
          </cell>
          <cell r="L12" t="str">
            <v>36 кв (13 вид) 0 діл.</v>
          </cell>
        </row>
        <row r="13">
          <cell r="I13">
            <v>43102</v>
          </cell>
          <cell r="M13">
            <v>0.5</v>
          </cell>
        </row>
      </sheetData>
      <sheetData sheetId="16">
        <row r="1">
          <cell r="G1">
            <v>4</v>
          </cell>
          <cell r="H1" t="str">
            <v>Шп</v>
          </cell>
          <cell r="I1">
            <v>4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0</v>
          </cell>
        </row>
        <row r="3">
          <cell r="B3">
            <v>96</v>
          </cell>
          <cell r="I3">
            <v>266</v>
          </cell>
        </row>
        <row r="4">
          <cell r="B4" t="str">
            <v>7_0</v>
          </cell>
          <cell r="I4">
            <v>23</v>
          </cell>
        </row>
        <row r="5">
          <cell r="B5">
            <v>1.4</v>
          </cell>
          <cell r="I5">
            <v>243</v>
          </cell>
        </row>
        <row r="6">
          <cell r="B6" t="str">
            <v>Молодняки</v>
          </cell>
          <cell r="I6">
            <v>190</v>
          </cell>
        </row>
        <row r="7">
          <cell r="B7" t="str">
            <v>важкі</v>
          </cell>
          <cell r="I7" t="e">
            <v>#DIV/0!</v>
          </cell>
        </row>
        <row r="8">
          <cell r="B8">
            <v>43101</v>
          </cell>
          <cell r="I8">
            <v>0</v>
          </cell>
        </row>
        <row r="9">
          <cell r="L9">
            <v>43196</v>
          </cell>
        </row>
        <row r="10">
          <cell r="I10">
            <v>3</v>
          </cell>
        </row>
        <row r="12">
          <cell r="I12">
            <v>556669</v>
          </cell>
          <cell r="L12" t="str">
            <v>96 кв (7 вид) 0 діл.</v>
          </cell>
        </row>
        <row r="13">
          <cell r="B13" t="str">
            <v>Дз</v>
          </cell>
        </row>
        <row r="79">
          <cell r="L79" t="e">
            <v>#DIV/0!</v>
          </cell>
        </row>
      </sheetData>
      <sheetData sheetId="17">
        <row r="1">
          <cell r="I1">
            <v>1</v>
          </cell>
        </row>
        <row r="2">
          <cell r="B2" t="str">
            <v>Вільхівецьке</v>
          </cell>
          <cell r="I2">
            <v>125</v>
          </cell>
        </row>
        <row r="3">
          <cell r="B3">
            <v>93</v>
          </cell>
          <cell r="I3">
            <v>45</v>
          </cell>
        </row>
        <row r="4">
          <cell r="B4" t="str">
            <v>8_0</v>
          </cell>
          <cell r="I4">
            <v>6</v>
          </cell>
        </row>
        <row r="5">
          <cell r="B5">
            <v>3</v>
          </cell>
          <cell r="I5">
            <v>39</v>
          </cell>
        </row>
        <row r="6">
          <cell r="B6" t="str">
            <v>РД</v>
          </cell>
          <cell r="I6">
            <v>15</v>
          </cell>
        </row>
        <row r="7">
          <cell r="I7">
            <v>0.31</v>
          </cell>
        </row>
        <row r="8">
          <cell r="B8">
            <v>43101</v>
          </cell>
          <cell r="I8">
            <v>0</v>
          </cell>
        </row>
        <row r="9">
          <cell r="L9">
            <v>43441</v>
          </cell>
        </row>
        <row r="10">
          <cell r="I10">
            <v>3</v>
          </cell>
        </row>
        <row r="12">
          <cell r="I12">
            <v>106</v>
          </cell>
          <cell r="L12" t="str">
            <v>93 кв (8 вид) 0 діл.</v>
          </cell>
        </row>
        <row r="13">
          <cell r="I13">
            <v>43441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38</v>
          </cell>
        </row>
        <row r="68">
          <cell r="L68">
            <v>3601.962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</row>
        <row r="3">
          <cell r="A3" t="str">
            <v>ДП «Звенигородське лісове господарство»</v>
          </cell>
        </row>
        <row r="4">
          <cell r="A4" t="str">
            <v>ДП «Звенигородське лісове господарство»</v>
          </cell>
        </row>
        <row r="5">
          <cell r="A5" t="str">
            <v>ДП «Звенигородське лісове господарство»</v>
          </cell>
        </row>
        <row r="6">
          <cell r="A6" t="str">
            <v>ДП «Звенигородське лісове господарство»</v>
          </cell>
        </row>
        <row r="7">
          <cell r="A7" t="str">
            <v>ДП «Звенигородське лісове господарство»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"/>
    </sheetNames>
    <sheetDataSet>
      <sheetData sheetId="0">
        <row r="71">
          <cell r="O71">
            <v>5894.85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лодняк"/>
    </sheetNames>
    <sheetDataSet>
      <sheetData sheetId="0">
        <row r="67">
          <cell r="W67">
            <v>32760.77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Лист1"/>
      <sheetName val="ЗД_ТП"/>
      <sheetName val="ЗД_ХМ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Техкарта 2018"/>
    </sheetNames>
    <sheetDataSet>
      <sheetData sheetId="0" refreshError="1"/>
      <sheetData sheetId="1" refreshError="1"/>
      <sheetData sheetId="2" refreshError="1"/>
      <sheetData sheetId="3" refreshError="1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47">
          <cell r="A47">
            <v>0.14000000000000001</v>
          </cell>
        </row>
        <row r="48">
          <cell r="A48">
            <v>0.17</v>
          </cell>
        </row>
        <row r="49">
          <cell r="A49">
            <v>0.21</v>
          </cell>
        </row>
        <row r="50">
          <cell r="A50">
            <v>0.25</v>
          </cell>
        </row>
        <row r="51">
          <cell r="A51">
            <v>0.32</v>
          </cell>
        </row>
        <row r="52">
          <cell r="A52">
            <v>0.39</v>
          </cell>
        </row>
        <row r="53">
          <cell r="A53">
            <v>0.49</v>
          </cell>
        </row>
        <row r="54">
          <cell r="A54">
            <v>0.75</v>
          </cell>
        </row>
        <row r="55">
          <cell r="A55">
            <v>1.1000000000000001</v>
          </cell>
        </row>
        <row r="56">
          <cell r="A56">
            <v>1000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ФОП Степовий О.Є.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G2">
            <v>0</v>
          </cell>
          <cell r="H2">
            <v>0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Q2">
            <v>0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 ФОП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</sheetData>
      <sheetData sheetId="15" refreshError="1">
        <row r="1">
          <cell r="A1" t="str">
            <v>Группа</v>
          </cell>
        </row>
        <row r="2">
          <cell r="B2" t="str">
            <v>Катеринопільське</v>
          </cell>
          <cell r="C2">
            <v>1</v>
          </cell>
        </row>
        <row r="3">
          <cell r="B3" t="str">
            <v>Козачанське</v>
          </cell>
          <cell r="C3">
            <v>1</v>
          </cell>
        </row>
        <row r="4">
          <cell r="B4" t="str">
            <v>Вільхівецьке</v>
          </cell>
          <cell r="C4">
            <v>11</v>
          </cell>
        </row>
        <row r="5">
          <cell r="B5" t="str">
            <v>Пехівське</v>
          </cell>
          <cell r="C5">
            <v>1</v>
          </cell>
        </row>
        <row r="6">
          <cell r="B6" t="str">
            <v>Хлипнівське</v>
          </cell>
          <cell r="C6">
            <v>9</v>
          </cell>
        </row>
        <row r="7"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4">
          <cell r="B34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A2" t="str">
            <v>Хлипнівське</v>
          </cell>
        </row>
        <row r="5">
          <cell r="B5" t="str">
            <v>Важкі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B2" t="str">
            <v>РГК</v>
          </cell>
        </row>
        <row r="3">
          <cell r="B3" t="str">
            <v>РД</v>
          </cell>
        </row>
        <row r="4">
          <cell r="B4" t="str">
            <v>Молодняк</v>
          </cell>
        </row>
      </sheetData>
      <sheetData sheetId="14"/>
      <sheetData sheetId="15"/>
      <sheetData sheetId="16"/>
      <sheetData sheetId="17">
        <row r="2">
          <cell r="B2" t="str">
            <v>Катеринопільське</v>
          </cell>
        </row>
        <row r="3">
          <cell r="B3" t="str">
            <v>Козачанське</v>
          </cell>
        </row>
        <row r="4">
          <cell r="B4" t="str">
            <v>Вільхівецьке</v>
          </cell>
        </row>
        <row r="5">
          <cell r="B5" t="str">
            <v>Пехівське</v>
          </cell>
        </row>
        <row r="6">
          <cell r="B6" t="str">
            <v>Хлипнівське</v>
          </cell>
        </row>
        <row r="7">
          <cell r="B7" t="str">
            <v>Шполянське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B5" t="str">
            <v>Важкі</v>
          </cell>
          <cell r="C5" t="str">
            <v>Нормальні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стера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стера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Мастера"/>
      <sheetName val="NameControlsForm"/>
      <sheetName val="РеестрЛКЕОД"/>
      <sheetName val="Расчет"/>
      <sheetName val="Молодняки"/>
      <sheetName val="РГК (2)"/>
      <sheetName val="Форма"/>
      <sheetName val="Шаблоны"/>
      <sheetName val="КоэфРГК"/>
      <sheetName val="РГК"/>
      <sheetName val="РГК_кошторис"/>
      <sheetName val="Лист8"/>
      <sheetName val="РД"/>
      <sheetName val="Тарифи"/>
      <sheetName val="Реестр договорів"/>
      <sheetName val="Виконавец"/>
      <sheetName val="Техкарта"/>
      <sheetName val="Настройки"/>
      <sheetName val="Лист1"/>
      <sheetName val="Лист6"/>
      <sheetName val="Лист10"/>
      <sheetName val="Лист7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6">
          <cell r="B6" t="str">
            <v>Молодняки</v>
          </cell>
        </row>
        <row r="9">
          <cell r="L9">
            <v>43433</v>
          </cell>
        </row>
      </sheetData>
      <sheetData sheetId="16"/>
      <sheetData sheetId="17"/>
      <sheetData sheetId="18"/>
      <sheetData sheetId="19">
        <row r="231">
          <cell r="H231" t="str">
            <v>з густим</v>
          </cell>
          <cell r="I231" t="str">
            <v>Без спалювання</v>
          </cell>
        </row>
        <row r="232">
          <cell r="H232" t="str">
            <v>з середнім</v>
          </cell>
          <cell r="I232" t="str">
            <v>із спалюванням</v>
          </cell>
        </row>
        <row r="233">
          <cell r="H233" t="str">
            <v>з рідким</v>
          </cell>
        </row>
      </sheetData>
      <sheetData sheetId="20">
        <row r="10">
          <cell r="P10" t="str">
            <v>Без спалювання</v>
          </cell>
        </row>
        <row r="11">
          <cell r="I11">
            <v>1.1000000000000001</v>
          </cell>
        </row>
        <row r="12">
          <cell r="B12" t="str">
            <v>з густим</v>
          </cell>
        </row>
        <row r="22">
          <cell r="AD22" t="str">
            <v>Сумм</v>
          </cell>
        </row>
        <row r="23">
          <cell r="F23">
            <v>0.4</v>
          </cell>
          <cell r="O23">
            <v>190.57190082644627</v>
          </cell>
          <cell r="U23">
            <v>231.54498000000001</v>
          </cell>
        </row>
        <row r="24">
          <cell r="F24">
            <v>0.4</v>
          </cell>
          <cell r="O24">
            <v>332.72727272727269</v>
          </cell>
          <cell r="U24">
            <v>404.263305</v>
          </cell>
        </row>
        <row r="25">
          <cell r="F25">
            <v>161</v>
          </cell>
          <cell r="O25">
            <v>1084.6521212121213</v>
          </cell>
          <cell r="U25">
            <v>1317.8521800000001</v>
          </cell>
        </row>
        <row r="27">
          <cell r="F27">
            <v>16</v>
          </cell>
          <cell r="O27">
            <v>60.691688161288624</v>
          </cell>
          <cell r="U27">
            <v>73.740780000000001</v>
          </cell>
        </row>
        <row r="28">
          <cell r="F28">
            <v>4</v>
          </cell>
          <cell r="O28">
            <v>11.033110047846888</v>
          </cell>
          <cell r="U28">
            <v>13.405099999999999</v>
          </cell>
        </row>
        <row r="29">
          <cell r="F29">
            <v>120</v>
          </cell>
          <cell r="O29">
            <v>400.56514186450488</v>
          </cell>
          <cell r="U29">
            <v>486.68647499999997</v>
          </cell>
        </row>
        <row r="31">
          <cell r="F31">
            <v>16</v>
          </cell>
          <cell r="O31">
            <v>78.828297010115179</v>
          </cell>
          <cell r="U31">
            <v>95.776020000000003</v>
          </cell>
        </row>
        <row r="32">
          <cell r="F32">
            <v>4</v>
          </cell>
          <cell r="O32">
            <v>14.102468959611814</v>
          </cell>
          <cell r="U32">
            <v>17.133929999999999</v>
          </cell>
        </row>
        <row r="33">
          <cell r="F33">
            <v>120</v>
          </cell>
          <cell r="O33">
            <v>520.26676026676023</v>
          </cell>
          <cell r="U33">
            <v>632.12440500000002</v>
          </cell>
        </row>
        <row r="35">
          <cell r="F35">
            <v>16</v>
          </cell>
          <cell r="O35">
            <v>74.78582024036568</v>
          </cell>
          <cell r="U35">
            <v>90.864990000000006</v>
          </cell>
        </row>
        <row r="36">
          <cell r="F36">
            <v>4</v>
          </cell>
          <cell r="O36">
            <v>10.968586968586967</v>
          </cell>
          <cell r="U36">
            <v>13.32734</v>
          </cell>
        </row>
        <row r="37">
          <cell r="F37">
            <v>120</v>
          </cell>
          <cell r="O37">
            <v>493.58641358641347</v>
          </cell>
          <cell r="U37">
            <v>599.70699000000002</v>
          </cell>
        </row>
        <row r="39">
          <cell r="F39">
            <v>0</v>
          </cell>
          <cell r="O39">
            <v>0</v>
          </cell>
          <cell r="U39">
            <v>0</v>
          </cell>
        </row>
        <row r="40">
          <cell r="F40">
            <v>0</v>
          </cell>
          <cell r="O40">
            <v>0</v>
          </cell>
          <cell r="U40">
            <v>0</v>
          </cell>
        </row>
        <row r="41">
          <cell r="F41">
            <v>42</v>
          </cell>
          <cell r="O41">
            <v>352.72488822652753</v>
          </cell>
          <cell r="U41">
            <v>428.56087500000001</v>
          </cell>
        </row>
        <row r="42">
          <cell r="F42">
            <v>0</v>
          </cell>
          <cell r="O42">
            <v>0</v>
          </cell>
          <cell r="U42">
            <v>0</v>
          </cell>
        </row>
        <row r="43">
          <cell r="F43">
            <v>0</v>
          </cell>
          <cell r="O43">
            <v>0</v>
          </cell>
          <cell r="U43">
            <v>0</v>
          </cell>
        </row>
        <row r="44">
          <cell r="F44">
            <v>4</v>
          </cell>
          <cell r="O44">
            <v>44.547035573122528</v>
          </cell>
          <cell r="U44">
            <v>54.124600000000001</v>
          </cell>
        </row>
        <row r="45">
          <cell r="F45">
            <v>12</v>
          </cell>
          <cell r="O45">
            <v>80.2963807352522</v>
          </cell>
          <cell r="U45">
            <v>97.559640000000002</v>
          </cell>
        </row>
        <row r="46">
          <cell r="F46">
            <v>2</v>
          </cell>
          <cell r="O46">
            <v>9.5755310110450296</v>
          </cell>
          <cell r="U46">
            <v>11.634840000000001</v>
          </cell>
        </row>
        <row r="47">
          <cell r="F47">
            <v>44</v>
          </cell>
          <cell r="O47">
            <v>259.08965517241376</v>
          </cell>
          <cell r="U47">
            <v>314.79435000000001</v>
          </cell>
        </row>
        <row r="48">
          <cell r="F48">
            <v>4</v>
          </cell>
          <cell r="O48">
            <v>213.63257259837738</v>
          </cell>
          <cell r="U48">
            <v>259.5641</v>
          </cell>
        </row>
        <row r="49">
          <cell r="F49">
            <v>2</v>
          </cell>
          <cell r="O49">
            <v>74.245059288537533</v>
          </cell>
          <cell r="U49">
            <v>90.207679999999996</v>
          </cell>
        </row>
        <row r="50">
          <cell r="F50">
            <v>30</v>
          </cell>
          <cell r="O50">
            <v>1409.9749791492907</v>
          </cell>
          <cell r="U50">
            <v>1713.119625</v>
          </cell>
        </row>
        <row r="52">
          <cell r="F52">
            <v>16</v>
          </cell>
          <cell r="O52">
            <v>78.907653611210918</v>
          </cell>
          <cell r="U52">
            <v>95.873220000000003</v>
          </cell>
        </row>
        <row r="53">
          <cell r="F53">
            <v>4</v>
          </cell>
          <cell r="O53">
            <v>9.074380165289254</v>
          </cell>
          <cell r="U53">
            <v>11.02491</v>
          </cell>
        </row>
        <row r="54">
          <cell r="F54">
            <v>120</v>
          </cell>
          <cell r="O54">
            <v>520.79051383399212</v>
          </cell>
          <cell r="U54">
            <v>632.76106500000003</v>
          </cell>
        </row>
        <row r="56">
          <cell r="F56">
            <v>4</v>
          </cell>
          <cell r="O56">
            <v>171.2280701754386</v>
          </cell>
          <cell r="U56">
            <v>208.04202000000001</v>
          </cell>
        </row>
        <row r="57">
          <cell r="F57">
            <v>2</v>
          </cell>
          <cell r="O57">
            <v>68.732394366197184</v>
          </cell>
          <cell r="U57">
            <v>83.509379999999993</v>
          </cell>
        </row>
        <row r="58">
          <cell r="F58">
            <v>30</v>
          </cell>
          <cell r="O58">
            <v>1284.2105263157894</v>
          </cell>
          <cell r="U58">
            <v>1560.3163649999999</v>
          </cell>
        </row>
        <row r="60">
          <cell r="O60">
            <v>0</v>
          </cell>
          <cell r="U60">
            <v>0</v>
          </cell>
        </row>
        <row r="61">
          <cell r="O61">
            <v>0</v>
          </cell>
          <cell r="U61">
            <v>0</v>
          </cell>
        </row>
        <row r="62">
          <cell r="F62">
            <v>8</v>
          </cell>
          <cell r="O62">
            <v>732</v>
          </cell>
          <cell r="U62">
            <v>889.38</v>
          </cell>
        </row>
        <row r="63">
          <cell r="U63">
            <v>10426.899165000001</v>
          </cell>
        </row>
        <row r="66">
          <cell r="O66">
            <v>8581.8092220938161</v>
          </cell>
        </row>
        <row r="69">
          <cell r="F69">
            <v>74.477999999999994</v>
          </cell>
        </row>
        <row r="71">
          <cell r="F71">
            <v>31.867999999999999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 (2)"/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 20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9"/>
      <sheetData sheetId="10">
        <row r="2">
          <cell r="A2">
            <v>1</v>
          </cell>
        </row>
      </sheetData>
      <sheetData sheetId="11"/>
      <sheetData sheetId="12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3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4"/>
      <sheetData sheetId="15"/>
      <sheetData sheetId="16">
        <row r="1">
          <cell r="G1">
            <v>11</v>
          </cell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3">
          <cell r="B3">
            <v>38</v>
          </cell>
          <cell r="I3">
            <v>9</v>
          </cell>
        </row>
        <row r="4">
          <cell r="B4" t="str">
            <v>3_0</v>
          </cell>
        </row>
        <row r="6">
          <cell r="B6" t="str">
            <v>Молодняки</v>
          </cell>
          <cell r="I6">
            <v>8</v>
          </cell>
        </row>
        <row r="9">
          <cell r="L9">
            <v>43433</v>
          </cell>
        </row>
        <row r="10">
          <cell r="L10">
            <v>2</v>
          </cell>
        </row>
        <row r="12">
          <cell r="I12">
            <v>104</v>
          </cell>
          <cell r="L12" t="str">
            <v>38 кв (3 вид) 0 діл.</v>
          </cell>
        </row>
        <row r="13">
          <cell r="I13">
            <v>43433</v>
          </cell>
        </row>
      </sheetData>
      <sheetData sheetId="17">
        <row r="1">
          <cell r="G1">
            <v>5</v>
          </cell>
          <cell r="H1" t="str">
            <v>Шп</v>
          </cell>
          <cell r="I1">
            <v>2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893</v>
          </cell>
        </row>
        <row r="3">
          <cell r="B3">
            <v>101</v>
          </cell>
          <cell r="I3">
            <v>822</v>
          </cell>
        </row>
        <row r="4">
          <cell r="B4" t="str">
            <v>12</v>
          </cell>
          <cell r="I4">
            <v>0</v>
          </cell>
        </row>
        <row r="5">
          <cell r="B5">
            <v>2.8</v>
          </cell>
          <cell r="I5">
            <v>822</v>
          </cell>
        </row>
        <row r="6">
          <cell r="B6" t="str">
            <v>РГК</v>
          </cell>
          <cell r="I6">
            <v>294</v>
          </cell>
          <cell r="L6" t="str">
            <v>Так</v>
          </cell>
        </row>
        <row r="7">
          <cell r="B7" t="str">
            <v>Важкі</v>
          </cell>
          <cell r="I7">
            <v>0.92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43222</v>
          </cell>
        </row>
        <row r="10">
          <cell r="B10">
            <v>10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556622</v>
          </cell>
          <cell r="L12" t="str">
            <v>101 кв (12 вид)  діл.</v>
          </cell>
        </row>
        <row r="13">
          <cell r="B13" t="str">
            <v>Дз</v>
          </cell>
        </row>
        <row r="79">
          <cell r="L79">
            <v>63481.415999999997</v>
          </cell>
        </row>
      </sheetData>
      <sheetData sheetId="18">
        <row r="1">
          <cell r="I1">
            <v>12</v>
          </cell>
        </row>
        <row r="3">
          <cell r="B3">
            <v>82</v>
          </cell>
          <cell r="I3">
            <v>37</v>
          </cell>
        </row>
        <row r="4">
          <cell r="B4" t="str">
            <v>4_0</v>
          </cell>
        </row>
        <row r="6">
          <cell r="B6" t="str">
            <v>РД</v>
          </cell>
          <cell r="I6">
            <v>9</v>
          </cell>
        </row>
        <row r="7">
          <cell r="I7">
            <v>0.12</v>
          </cell>
        </row>
        <row r="8">
          <cell r="B8">
            <v>43101</v>
          </cell>
          <cell r="I8">
            <v>0</v>
          </cell>
        </row>
        <row r="9">
          <cell r="L9">
            <v>43222</v>
          </cell>
        </row>
        <row r="10">
          <cell r="I10">
            <v>3</v>
          </cell>
        </row>
        <row r="12">
          <cell r="I12">
            <v>556628</v>
          </cell>
          <cell r="L12" t="str">
            <v>82 кв (4 вид) 0 діл.</v>
          </cell>
        </row>
        <row r="13">
          <cell r="I13">
            <v>43102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35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C7">
            <v>14</v>
          </cell>
        </row>
        <row r="10">
          <cell r="C10">
            <v>1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мена в книге"/>
      <sheetName val="РГК (2)"/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2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7">
      <calculatedColumnFormula>H49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" name="Техкарта6" displayName="Техкарта6" ref="A1:BQ74" totalsRowShown="0" headerRowDxfId="232" dataDxfId="231">
  <autoFilter ref="A1:BQ74"/>
  <sortState ref="A2:BM16">
    <sortCondition ref="B1:B16"/>
  </sortState>
  <tableColumns count="69">
    <tableColumn id="1" name="Шаблон" dataDxfId="230"/>
    <tableColumn id="2" name="Лісництво" dataDxfId="229"/>
    <tableColumn id="3" name="Вид рубки" dataDxfId="228"/>
    <tableColumn id="4" name="Чорнобильська зона" dataDxfId="227"/>
    <tableColumn id="5" name="Гол.пор." dataDxfId="226"/>
    <tableColumn id="6" name="Розряд висот" dataDxfId="225"/>
    <tableColumn id="7" name="Умови роботи" dataDxfId="224"/>
    <tableColumn id="8" name="Кв-л" dataDxfId="223"/>
    <tableColumn id="9" name="Виділ" dataDxfId="222"/>
    <tableColumn id="10" name="Площа,га" dataDxfId="221"/>
    <tableColumn id="11" name="Кільк-сть дерев" dataDxfId="220"/>
    <tableColumn id="12" name="Знач1" dataDxfId="219"/>
    <tableColumn id="13" name="Знач2" dataDxfId="218"/>
    <tableColumn id="14" name="Знач3" dataDxfId="217"/>
    <tableColumn id="15" name="Знач4" dataDxfId="216"/>
    <tableColumn id="16" name="Знач5" dataDxfId="215"/>
    <tableColumn id="17" name="Знач6" dataDxfId="214"/>
    <tableColumn id="18" name="Знач7" dataDxfId="213"/>
    <tableColumn id="19" name="Знач8" dataDxfId="212"/>
    <tableColumn id="20" name="Знач9" dataDxfId="211"/>
    <tableColumn id="21" name="Знач10" dataDxfId="210"/>
    <tableColumn id="22" name="Знач11" dataDxfId="209"/>
    <tableColumn id="23" name="Знач12" dataDxfId="208"/>
    <tableColumn id="24" name="Разм хлиста" dataDxfId="207">
      <calculatedColumnFormula>Техкарта6[[#This Row],[Масса]]/Техкарта6[[#This Row],[Кільк-сть дерев]]</calculatedColumnFormula>
    </tableColumn>
    <tableColumn id="25" name="Масса" dataDxfId="206">
      <calculatedColumnFormula>SUM(Техкарта6[[#This Row],[Знач1]:[Знач12]])</calculatedColumnFormula>
    </tableColumn>
    <tableColumn id="26" name="Масса на1 га" dataDxfId="205">
      <calculatedColumnFormula>(Техкарта6[[#This Row],[Нелеквид]]+Техкарта6[[#This Row],[Масса]])/Техкарта6[[#This Row],[Площа,га]]</calculatedColumnFormula>
    </tableColumn>
    <tableColumn id="27" name="Витрати кбм" dataDxfId="204"/>
    <tableColumn id="28" name="Витрати хлисти" dataDxfId="203"/>
    <tableColumn id="29" name="Нелеквид" dataDxfId="202"/>
    <tableColumn id="30" name="Складання молодняк" dataDxfId="201"/>
    <tableColumn id="31" name="Номер Карты" dataDxfId="200"/>
    <tableColumn id="32" name="К.Схилу" dataDxfId="199"/>
    <tableColumn id="33" name="Дата тарифних ставок" dataDxfId="198"/>
    <tableColumn id="34" name="ID Карты СокращенноЛісн\Від рубки\Кв\Вид" dataDxfId="197"/>
    <tableColumn id="35" name="Дата договору" dataDxfId="196"/>
    <tableColumn id="36" name="Дата начала робіт договору" dataDxfId="195"/>
    <tableColumn id="37" name="Дата закінчення робіт договору" dataDxfId="194"/>
    <tableColumn id="38" name="Відповідальний" dataDxfId="193"/>
    <tableColumn id="39" name="Цена договору" dataDxfId="192"/>
    <tableColumn id="40" name="Цена договору з ПДВ" dataDxfId="191"/>
    <tableColumn id="41" name="Сумма договору з ПДВ" dataDxfId="190">
      <calculatedColumnFormula>Техкарта6[[#This Row],[Масса]]*Техкарта6[[#This Row],[Витрати кбм]]</calculatedColumnFormula>
    </tableColumn>
    <tableColumn id="42" name="ЛК" dataDxfId="189"/>
    <tableColumn id="43" name="Дата ЛК" dataDxfId="188"/>
    <tableColumn id="44" name="Коэфициент складання" dataDxfId="187"/>
    <tableColumn id="45" name="Способ рубки молодняків" dataDxfId="186"/>
    <tableColumn id="46" name="Путь к договору" dataDxfId="185"/>
    <tableColumn id="47" name="Путь к техкарте" dataDxfId="184"/>
    <tableColumn id="48" name="Путь к кошторису" dataDxfId="183"/>
    <tableColumn id="49" name="Залишок по ТК" dataDxfId="182"/>
    <tableColumn id="50" name="Столбец1" dataDxfId="181"/>
    <tableColumn id="51" name="Виконавець" dataDxfId="180"/>
    <tableColumn id="52" name="Квиконавець" dataDxfId="179"/>
    <tableColumn id="53" name="Підготовчі " dataDxfId="178"/>
    <tableColumn id="54" name="Тендер" dataDxfId="177"/>
    <tableColumn id="55" name="Дата тендера" dataDxfId="176">
      <calculatedColumnFormula>MONTH(Техкарта6[[#This Row],[Дата ЛК]])</calculatedColumnFormula>
    </tableColumn>
    <tableColumn id="56" name="знак" dataDxfId="175"/>
    <tableColumn id="57" name="Вибираєма маса підліску з 1 га скм" dataDxfId="174"/>
    <tableColumn id="58" name="Середній діаметр пня" dataDxfId="173"/>
    <tableColumn id="59" name="Захаращеність лісосіки" dataDxfId="172"/>
    <tableColumn id="60" name="Загальний коефіцієнт" dataDxfId="171">
      <calculatedColumnFormula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calculatedColumnFormula>
    </tableColumn>
    <tableColumn id="61" name="Залишок Площа" dataDxfId="170"/>
    <tableColumn id="62" name="Порядковий договору" dataDxfId="169"/>
    <tableColumn id="64" name="ПолнаяДіл" dataDxfId="168">
      <calculatedColumnFormula>Техкарта6[[#This Row],[Кв-л]]&amp;" кв ("&amp;Substring(Техкарта6[[#This Row],[Виділ]],"_",1)&amp;" вид) "&amp;Substring(Техкарта6[[#This Row],[Виділ]],"_",2)&amp;" діл."</calculatedColumnFormula>
    </tableColumn>
    <tableColumn id="65" name="Сведено" dataDxfId="167">
      <calculatedColumnFormula>Техкарта6[[#This Row],[ПолнаяДіл]] &amp;" "&amp;Техкарта6[[#This Row],[ЛК]]</calculatedColumnFormula>
    </tableColumn>
    <tableColumn id="63" name="Месяц договору" dataDxfId="166">
      <calculatedColumnFormula>MONTH(Техкарта6[[#This Row],[Дата начала робіт договору]])</calculatedColumnFormula>
    </tableColumn>
    <tableColumn id="66" name="Прибирання" dataDxfId="165"/>
    <tableColumn id="67" name="Зрізування" dataDxfId="164"/>
    <tableColumn id="68" name="Спилювання" dataDxfId="163"/>
    <tableColumn id="69" name="Шаблон2" dataDxfId="16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rachtet" displayName="rachtet" ref="A1:M16" totalsRowShown="0" headerRowDxfId="161" dataDxfId="159" headerRowBorderDxfId="160" tableBorderDxfId="158" totalsRowBorderDxfId="157">
  <autoFilter ref="A1:M16"/>
  <tableColumns count="13">
    <tableColumn id="1" name="Порода" dataDxfId="156" dataCellStyle="Обычный 2 2 2"/>
    <tableColumn id="2" name="Фансировина 1" dataDxfId="155"/>
    <tableColumn id="3" name="Фансировина 2 " dataDxfId="154"/>
    <tableColumn id="4" name="Пиловники 1" dataDxfId="153"/>
    <tableColumn id="5" name="Пиловники 2" dataDxfId="152"/>
    <tableColumn id="6" name="Пиловники 3" dataDxfId="151"/>
    <tableColumn id="7" name="Будлис" dataDxfId="150"/>
    <tableColumn id="8" name="Баланси" dataDxfId="149"/>
    <tableColumn id="9" name="Рудстійка" dataDxfId="148"/>
    <tableColumn id="10" name="Техсировина" dataDxfId="147"/>
    <tableColumn id="11" name="Дрова" dataDxfId="146"/>
    <tableColumn id="12" name="Хворост 1" dataDxfId="145"/>
    <tableColumn id="13" name="Хворост 2" dataDxfId="14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98" name="ДЛГ" displayName="ДЛГ_1" ref="A1:N2" totalsRowShown="0" headerRowCellStyle="Обычный 2">
  <autoFilter ref="A1:N2"/>
  <tableColumns count="14">
    <tableColumn id="1" name="Лісгосп" dataCellStyle="Обычный 2"/>
    <tableColumn id="2" name="{ДиректорЛГ}"/>
    <tableColumn id="3" name="ПовнеЛісгосп"/>
    <tableColumn id="4" name="Посада Кер"/>
    <tableColumn id="5" name="ПовнеДиректорЛГ"/>
    <tableColumn id="6" name="Підстава"/>
    <tableColumn id="7" name="Керівника ДЛГ"/>
    <tableColumn id="8" name="ПосадИ Кер"/>
    <tableColumn id="9" name="Адреса" dataDxfId="143"/>
    <tableColumn id="10" name=" ІПН" dataCellStyle="Обычный 2"/>
    <tableColumn id="11" name="р/р" dataDxfId="142" dataCellStyle="Обычный 2"/>
    <tableColumn id="12" name="ЄДРПОУ" dataDxfId="141"/>
    <tableColumn id="13" name="Місто" dataDxfId="140"/>
    <tableColumn id="14" name="МФО" dataDxfId="139" dataCellStyle="Обычный 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00" name="Таблица100" displayName="Таблица100" ref="A1:B4" totalsRowShown="0">
  <autoFilter ref="A1:B4"/>
  <tableColumns count="2">
    <tableColumn id="1" name="Шаблон"/>
    <tableColumn id="2" name="Путь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99" name="Рубки" displayName="Рубки" ref="A1:C4" totalsRowShown="0">
  <autoFilter ref="A1:C4"/>
  <sortState ref="A2:B4">
    <sortCondition ref="A1:A4"/>
  </sortState>
  <tableColumns count="3">
    <tableColumn id="1" name="Рубки"/>
    <tableColumn id="2" name="Столбец1"/>
    <tableColumn id="3" name="Столбец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5" name="Лісництва" displayName="Лісництва" ref="A1:J7" totalsRowShown="0" headerRowDxfId="138" tableBorderDxfId="137">
  <autoFilter ref="A1:J7"/>
  <sortState ref="A2:J7">
    <sortCondition ref="A1:A7"/>
  </sortState>
  <tableColumns count="10">
    <tableColumn id="2" name="Підрозділ" dataDxfId="136" dataCellStyle="Обычный 2"/>
    <tableColumn id="4" name="Сокр" dataDxfId="135" dataCellStyle="Обычный_Реализация (1) (1)"/>
    <tableColumn id="5" name="Лісництва" dataDxfId="134" dataCellStyle="Обычный 2"/>
    <tableColumn id="7" name="ЛісничИЙ" dataDxfId="133" dataCellStyle="Обычный_Реализация (1) (1)"/>
    <tableColumn id="6" name="ЛісничОГО" dataDxfId="132" dataCellStyle="Обычный_Реализация (1) (1)"/>
    <tableColumn id="8" name="Виконавец по умолчанию" dataCellStyle="Обычный 2"/>
    <tableColumn id="9" name="Помичник" dataDxfId="131" dataCellStyle="Обычный_Реализация (1) (1)"/>
    <tableColumn id="11" name="Лісництві" dataDxfId="130" dataCellStyle="Обычный_Реализация (1) (1)"/>
    <tableColumn id="3" name="Нумерация" dataDxfId="129" dataCellStyle="Обычный_Реализация (1) (1)"/>
    <tableColumn id="1" name="Группа" dataDxfId="128" dataCellStyle="Обычный_Реализация (1) (1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98" name="Печать" displayName="Печать" ref="A1:E12" totalsRowShown="0" headerRowDxfId="1" dataDxfId="0">
  <autoFilter ref="A1:E12"/>
  <tableColumns count="5">
    <tableColumn id="1" name="Закладка" dataDxfId="6"/>
    <tableColumn id="2" name="Наименование" dataDxfId="5"/>
    <tableColumn id="3" name="Лицо" dataDxfId="4"/>
    <tableColumn id="4" name="Оборот" dataDxfId="3"/>
    <tableColumn id="5" name="Копий" dataDxfId="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444" name="Критерии" displayName="Критерии" ref="A1:E12" totalsRowShown="0" headerRowDxfId="127" headerRowBorderDxfId="126" tableBorderDxfId="125" totalsRowBorderDxfId="124">
  <autoFilter ref="A1:E12"/>
  <tableColumns count="5">
    <tableColumn id="1" name="№" dataDxfId="123"/>
    <tableColumn id="2" name="Значение" dataDxfId="122"/>
    <tableColumn id="3" name="Символ" dataDxfId="121"/>
    <tableColumn id="6" name="a" dataDxfId="120"/>
    <tableColumn id="7" name="b" dataDxfId="11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11" name="Таблица111" displayName="Таблица111" ref="A1:E53" totalsRowShown="0">
  <autoFilter ref="A1:E53"/>
  <tableColumns count="5">
    <tableColumn id="1" name="Техкарта" dataDxfId="118" dataCellStyle="Обычный 2"/>
    <tableColumn id="2" name="Форма"/>
    <tableColumn id="3" name="Имя"/>
    <tableColumn id="4" name="Макрос"/>
    <tableColumn id="5" name="Примечание" dataDxfId="117">
      <calculatedColumnFormula>"[fm"&amp;Таблица111[[#This Row],[Имя]]&amp;"]"</calculatedColumnFormula>
    </tableColumn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4" name="Таблица1" displayName="Таблица1" ref="A1:BY657" totalsRowShown="0" headerRowDxfId="96" dataDxfId="95" dataCellStyle="Обычный 3">
  <autoFilter ref="A1:BY657"/>
  <sortState ref="A2:BD433">
    <sortCondition ref="H1:H441"/>
  </sortState>
  <tableColumns count="77">
    <tableColumn id="1" name="Шаблон"/>
    <tableColumn id="2" name="Лісництво" dataDxfId="94" dataCellStyle="Обычный 3"/>
    <tableColumn id="3" name="Вид рубки" dataDxfId="93" dataCellStyle="Обычный 3"/>
    <tableColumn id="4" name="Чорнобильська зона" dataDxfId="92" dataCellStyle="Обычный 3"/>
    <tableColumn id="5" name="Гол.пор." dataDxfId="91" dataCellStyle="Обычный 3"/>
    <tableColumn id="6" name="Розряд висот" dataDxfId="90" dataCellStyle="Обычный 3"/>
    <tableColumn id="7" name="Умови роботи" dataDxfId="89" dataCellStyle="Обычный 3"/>
    <tableColumn id="8" name="Кв-л" dataDxfId="88" dataCellStyle="Обычный 3"/>
    <tableColumn id="9" name="Виділ" dataDxfId="87" dataCellStyle="Обычный 3"/>
    <tableColumn id="10" name="Площа,га" dataDxfId="86" dataCellStyle="Обычный 3"/>
    <tableColumn id="11" name="Кільк-сть дерев" dataDxfId="85" dataCellStyle="Обычный 3"/>
    <tableColumn id="12" name="Знач1" dataDxfId="84" dataCellStyle="Обычный 3"/>
    <tableColumn id="13" name="Знач2" dataDxfId="83" dataCellStyle="Обычный 3"/>
    <tableColumn id="14" name="Знач3" dataDxfId="82" dataCellStyle="Обычный 3"/>
    <tableColumn id="15" name="Знач4" dataDxfId="81" dataCellStyle="Обычный 3"/>
    <tableColumn id="16" name="Знач5" dataDxfId="80" dataCellStyle="Обычный 3"/>
    <tableColumn id="17" name="Знач6" dataDxfId="79" dataCellStyle="Обычный 3"/>
    <tableColumn id="18" name="Знач7" dataDxfId="78" dataCellStyle="Обычный 3"/>
    <tableColumn id="19" name="Знач8" dataDxfId="77" dataCellStyle="Обычный 3"/>
    <tableColumn id="20" name="Знач9" dataDxfId="76" dataCellStyle="Обычный 3"/>
    <tableColumn id="21" name="Знач10" dataDxfId="75" dataCellStyle="Обычный 3"/>
    <tableColumn id="22" name="Знач11" dataDxfId="74" dataCellStyle="Обычный 3"/>
    <tableColumn id="23" name="Знач12" dataDxfId="73" dataCellStyle="Обычный 3"/>
    <tableColumn id="24" name="Разм хлиста" dataDxfId="72"/>
    <tableColumn id="25" name="Масса" dataDxfId="71"/>
    <tableColumn id="26" name="Масса на1 га" dataDxfId="70"/>
    <tableColumn id="27" name="Витрати кбм" dataDxfId="69"/>
    <tableColumn id="28" name="Витрати хлисти" dataDxfId="68"/>
    <tableColumn id="29" name="Нелеквид" dataDxfId="67"/>
    <tableColumn id="30" name="Складання молодняк"/>
    <tableColumn id="31" name="Номер Карты" dataDxfId="66"/>
    <tableColumn id="32" name="К.Схилу" dataDxfId="65"/>
    <tableColumn id="33" name="Дата тарифних ставок" dataDxfId="64"/>
    <tableColumn id="34" name="ID Карты СокращенноЛісн\Від рубки\Кв\Вид"/>
    <tableColumn id="35" name="Дата договору"/>
    <tableColumn id="36" name="Дата начала робіт договору" dataDxfId="63" dataCellStyle="Обычный_Техкарта РГК"/>
    <tableColumn id="37" name="Дата закінчення робіт договору"/>
    <tableColumn id="38" name="Відповідальний" dataDxfId="62" dataCellStyle="Обычный_Мастера_1"/>
    <tableColumn id="39" name="Цена договору" dataDxfId="61"/>
    <tableColumn id="40" name="Цена договору з ПДВ" dataDxfId="60"/>
    <tableColumn id="41" name="Сумма договору з ПДВ" dataDxfId="59"/>
    <tableColumn id="42" name="ЛК" dataDxfId="58"/>
    <tableColumn id="43" name="Дата ЛК" dataDxfId="57"/>
    <tableColumn id="44" name="Коэфициент складання"/>
    <tableColumn id="45" name="Способ рубки молодняків"/>
    <tableColumn id="46" name="G:\Dropbox\Чат\Техкарты\7\Віл\19 кв (6 вид) 0 діл\19 кв (6 вид) 0 діл-Комплект-556708-Молодняки-ЛД.doc" dataDxfId="56" dataCellStyle="Гиперссылка"/>
    <tableColumn id="47" name="Путь к техкарте" dataDxfId="55" dataCellStyle="Гиперссылка"/>
    <tableColumn id="48" name="Путь к кошторису" dataDxfId="54" dataCellStyle="Гиперссылка"/>
    <tableColumn id="49" name="Залишок по ТК"/>
    <tableColumn id="50" name="Столбец1"/>
    <tableColumn id="51" name="Виконавець" dataDxfId="53" dataCellStyle="Обычный 2"/>
    <tableColumn id="52" name="Квиконавець" dataDxfId="52"/>
    <tableColumn id="53" name="Підготовчі "/>
    <tableColumn id="54" name="Тендер" dataDxfId="51"/>
    <tableColumn id="55" name="Дата тендера" dataDxfId="50"/>
    <tableColumn id="56" name="знак" dataDxfId="49"/>
    <tableColumn id="57" name="Вибираєма маса підліску з 1 га скм" dataDxfId="48" dataCellStyle="Обычный_Тех карти. Finpla~1 2"/>
    <tableColumn id="58" name="Середній діаметр пня" dataDxfId="47" dataCellStyle="Обычный_Тех карти. Finpla~1 2"/>
    <tableColumn id="59" name="Захаращеність лісосіки" dataDxfId="46" dataCellStyle="Обычный_Тех карти. Finpla~1 2"/>
    <tableColumn id="60" name="Загальний коефіцієнт" dataDxfId="45" dataCellStyle="Обычный 3"/>
    <tableColumn id="61" name="Залишок Площа" dataDxfId="44" dataCellStyle="Обычный 3"/>
    <tableColumn id="62" name="Порядковий договору" dataDxfId="43" dataCellStyle="Обычный 3"/>
    <tableColumn id="63" name="ПолнаяДіл" dataDxfId="42" dataCellStyle="Обычный 3"/>
    <tableColumn id="64" name="Сведено" dataDxfId="41" dataCellStyle="Обычный 3"/>
    <tableColumn id="65" name="Месяц договору" dataDxfId="40" dataCellStyle="Обычный 3"/>
    <tableColumn id="66" name="Прибирання" dataDxfId="39" dataCellStyle="Обычный 3"/>
    <tableColumn id="67" name="Зрізування" dataDxfId="38" dataCellStyle="Обычный 3"/>
    <tableColumn id="68" name="Спилювання" dataDxfId="37" dataCellStyle="Обычный 3"/>
    <tableColumn id="69" name="Шаблон2" dataDxfId="36" dataCellStyle="Обычный 3"/>
    <tableColumn id="70" name="Довжина верх." dataDxfId="35" dataCellStyle="Обычный 3"/>
    <tableColumn id="71" name="НелГраб" dataDxfId="34" dataCellStyle="Обычный 3"/>
    <tableColumn id="72" name="НелМяк" dataDxfId="33" dataCellStyle="Обычный 3"/>
    <tableColumn id="73" name="НелТВ" dataDxfId="32" dataCellStyle="Обычный 3"/>
    <tableColumn id="74" name="Підріст" dataDxfId="31" dataCellStyle="Обычный 3"/>
    <tableColumn id="75" name="JSONРасчет" dataDxfId="30" dataCellStyle="Обычный 3"/>
    <tableColumn id="76" name="Спалювання" dataDxfId="29" dataCellStyle="Обычный 3"/>
    <tableColumn id="77" name="jsonKoshtoris" dataDxfId="28" dataCellStyle="Обычный 3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" name="Виконавец" displayName="Виконавец" ref="A1:T7" totalsRowShown="0" headerRowDxfId="116" tableBorderDxfId="115" headerRowCellStyle="Обычный 2">
  <autoFilter ref="A1:T7"/>
  <tableColumns count="20">
    <tableColumn id="1" name="Сокр"/>
    <tableColumn id="2" name="Повне Виконавець"/>
    <tableColumn id="3" name="ВО Вик"/>
    <tableColumn id="4" name="Посвда ВО Вик"/>
    <tableColumn id="5" name="в особі від виконавця"/>
    <tableColumn id="6" name="Посада ВО Вик"/>
    <tableColumn id="7" name="№ Дог Вик"/>
    <tableColumn id="8" name="Дата Дог Вик"/>
    <tableColumn id="9" name="Від Виконавця"/>
    <tableColumn id="10" name="в особі вик"/>
    <tableColumn id="11" name="Підставі Вик"/>
    <tableColumn id="12" name="Повне Вик"/>
    <tableColumn id="13" name="Адреса Вик"/>
    <tableColumn id="14" name="ІПН Вик"/>
    <tableColumn id="15" name="р/р Вик"/>
    <tableColumn id="16" name="ЄДРПОУ Вик"/>
    <tableColumn id="17" name="№ Свідоцтва  ДР"/>
    <tableColumn id="18" name="№ Дозвілу ДПНУ"/>
    <tableColumn id="19" name="КоєфПДВ"/>
    <tableColumn id="20" name="ДатаНачалаРаботи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3" name="ВиконавецФорма" displayName="ВиконавецФорма" ref="A1:C34" totalsRowShown="0">
  <autoFilter ref="A1:C34"/>
  <tableColumns count="3">
    <tableColumn id="1" name="Наименование" dataDxfId="114" dataCellStyle="Обычный 2"/>
    <tableColumn id="2" name="Значение" dataDxfId="113" dataCellStyle="Обычный 2"/>
    <tableColumn id="3" name="Пример" dataDxfId="112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49" name="Мастера" displayName="Мастера" ref="A1:F13" totalsRowShown="0" headerRowDxfId="111" headerRowBorderDxfId="110" tableBorderDxfId="109" headerRowCellStyle="Обычный_Реализация (1) (1)" dataCellStyle="Обычный 2">
  <autoFilter ref="A1:F13"/>
  <tableColumns count="6">
    <tableColumn id="1" name="Кат" dataDxfId="108" dataCellStyle="Обычный 2"/>
    <tableColumn id="2" name="Коз" dataDxfId="107" dataCellStyle="Обычный 2"/>
    <tableColumn id="3" name="Віл" dataDxfId="106" dataCellStyle="Обычный 2"/>
    <tableColumn id="4" name="Пех" dataDxfId="105" dataCellStyle="Обычный 2"/>
    <tableColumn id="5" name="Хл" dataDxfId="104"/>
    <tableColumn id="6" name="Шп" dataDxfId="10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7" name="ПадежиМайстер" displayName="ПадежиМайстер" ref="A1:P50" totalsRowShown="0" headerRowDxfId="102">
  <autoFilter ref="A1:P50"/>
  <sortState ref="A2:O50">
    <sortCondition ref="A2:A50"/>
  </sortState>
  <tableColumns count="16">
    <tableColumn id="1" name="Призвіще ІП" dataDxfId="101"/>
    <tableColumn id="2" name="СокрЛіс"/>
    <tableColumn id="3" name="СокрІП" dataDxfId="100">
      <calculatedColumnFormula>RIGHT(A2,LEN(A2)-FIND(" ",A2,1))</calculatedColumnFormula>
    </tableColumn>
    <tableColumn id="4" name="Призвіще" dataDxfId="99">
      <calculatedColumnFormula>LEFT(A2,FIND(" ",A2,1))</calculatedColumnFormula>
    </tableColumn>
    <tableColumn id="5" name="Ім'я" dataDxfId="98"/>
    <tableColumn id="6" name="Сокр Ім'я"/>
    <tableColumn id="7" name="По батькові"/>
    <tableColumn id="8" name=" Сокр По батькові"/>
    <tableColumn id="9" name="Називний"/>
    <tableColumn id="10" name="Родовий ІБ"/>
    <tableColumn id="11" name="Давальний"/>
    <tableColumn id="12" name="Знахідний"/>
    <tableColumn id="13" name="Орудний"/>
    <tableColumn id="14" name="Місцевий"/>
    <tableColumn id="15" name="Кличний"/>
    <tableColumn id="16" name="Уволен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34" name="Импорт" displayName="Импорт" ref="A1:E6" totalsRowShown="0">
  <autoFilter ref="A1:E6"/>
  <tableColumns count="5">
    <tableColumn id="1" name="№" dataDxfId="97"/>
    <tableColumn id="2" name="Файл для импорта"/>
    <tableColumn id="3" name="Лист"/>
    <tableColumn id="4" name="Новое Имя Листа"/>
    <tableColumn id="5" name="Макро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&#1058;&#1077;&#1093;&#1082;&#1072;&#1088;&#1090;&#1099;/9/&#1050;&#1086;&#1079;/16%20&#1082;&#1074;%20(5%20&#1074;&#1080;&#1076;)%200%20&#1076;&#1110;&#1083;/16%20&#1082;&#1074;%20(5%20&#1074;&#1080;&#1076;)%200%20&#1076;&#1110;&#1083;-&#1050;&#1086;&#1084;&#1087;&#1083;&#1077;&#1082;&#1090;-556617-&#1056;&#1043;&#1050;-&#1056;&#1043;&#1050;.doc" TargetMode="External"/><Relationship Id="rId1" Type="http://schemas.openxmlformats.org/officeDocument/2006/relationships/hyperlink" Target="file:///C:\Documents%20and%20Settings\&#1055;&#1086;&#1083;&#1100;&#1079;&#1086;&#1074;&#1072;&#1090;&#1077;&#1083;&#1100;\Application%20Data\Microsoft\Excel\&#1058;&#1077;&#1093;&#1082;&#1072;&#1088;&#1090;&#1099;\7\&#1042;&#1110;&#1083;\19%20&#1082;&#1074;%20(6%20&#1074;&#1080;&#1076;)%200%20&#1076;&#1110;&#1083;\19%20&#1082;&#1074;%20(6%20&#1074;&#1080;&#1076;)%200%20&#1076;&#1110;&#1083;-&#1050;&#1086;&#1084;&#1087;&#1083;&#1077;&#1082;&#1090;-556708-&#1052;&#1086;&#1083;&#1086;&#1076;&#1085;&#1103;&#1082;&#1080;-&#1051;&#1044;.doc" TargetMode="External"/><Relationship Id="rId5" Type="http://schemas.openxmlformats.org/officeDocument/2006/relationships/table" Target="../tables/table11.xml"/><Relationship Id="rId4" Type="http://schemas.openxmlformats.org/officeDocument/2006/relationships/drawing" Target="../drawings/drawing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&#1058;&#1077;&#1093;&#1082;&#1072;&#1088;&#1090;&#1099;/9/&#1050;&#1086;&#1079;/16%20&#1082;&#1074;%20(5%20&#1074;&#1080;&#1076;)%200%20&#1076;&#1110;&#1083;/16%20&#1082;&#1074;%20(5%20&#1074;&#1080;&#1076;)%200%20&#1076;&#1110;&#1083;-&#1050;&#1086;&#1084;&#1087;&#1083;&#1077;&#1082;&#1090;-556617-&#1056;&#1043;&#1050;-&#1056;&#1043;&#1050;.doc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4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workbookViewId="0">
      <selection activeCell="A5" sqref="A5"/>
    </sheetView>
  </sheetViews>
  <sheetFormatPr defaultRowHeight="15"/>
  <cols>
    <col min="1" max="1" width="9.140625" style="626"/>
    <col min="2" max="2" width="9.140625" style="552"/>
    <col min="3" max="5" width="8.85546875" style="552" customWidth="1"/>
    <col min="6" max="6" width="9.42578125" style="552" customWidth="1"/>
    <col min="7" max="7" width="11.85546875" style="552" customWidth="1"/>
    <col min="8" max="8" width="11" style="552" customWidth="1"/>
    <col min="9" max="9" width="14.140625" style="552" customWidth="1"/>
    <col min="10" max="11" width="13.42578125" style="552" customWidth="1"/>
    <col min="12" max="12" width="24.5703125" style="552" bestFit="1" customWidth="1"/>
    <col min="13" max="13" width="62.28515625" style="552" bestFit="1" customWidth="1"/>
    <col min="14" max="19" width="13.42578125" style="552" customWidth="1"/>
    <col min="20" max="20" width="70" style="552" bestFit="1" customWidth="1"/>
    <col min="21" max="21" width="11" style="552" customWidth="1"/>
    <col min="22" max="22" width="9.7109375" style="552" customWidth="1"/>
    <col min="23" max="23" width="9.140625" style="552"/>
    <col min="24" max="24" width="15.28515625" style="552" customWidth="1"/>
    <col min="25" max="25" width="10.5703125" style="552" customWidth="1"/>
    <col min="26" max="26" width="24" style="552" bestFit="1" customWidth="1"/>
    <col min="27" max="30" width="24" style="552" customWidth="1"/>
    <col min="31" max="31" width="25.28515625" style="552" customWidth="1"/>
    <col min="32" max="32" width="20.85546875" style="552" bestFit="1" customWidth="1"/>
    <col min="33" max="33" width="24" style="552" bestFit="1" customWidth="1"/>
    <col min="34" max="37" width="12.85546875" style="552" customWidth="1"/>
    <col min="38" max="38" width="19.85546875" style="552" bestFit="1" customWidth="1"/>
    <col min="39" max="47" width="12.85546875" style="552" customWidth="1"/>
    <col min="48" max="51" width="9.140625" style="552"/>
    <col min="52" max="52" width="13.85546875" style="552" customWidth="1"/>
    <col min="53" max="54" width="9.140625" style="552"/>
    <col min="55" max="55" width="28.5703125" style="552" customWidth="1"/>
    <col min="56" max="56" width="11" style="552" bestFit="1" customWidth="1"/>
    <col min="57" max="16384" width="9.140625" style="552"/>
  </cols>
  <sheetData>
    <row r="1" spans="1:63">
      <c r="A1" s="625" t="s">
        <v>2560</v>
      </c>
      <c r="B1" s="625"/>
      <c r="C1" s="625"/>
      <c r="D1" s="625"/>
      <c r="E1" s="625"/>
      <c r="F1" s="625"/>
      <c r="G1" s="625"/>
      <c r="H1" s="625"/>
      <c r="I1" s="625"/>
      <c r="J1" s="625"/>
      <c r="K1" s="625"/>
      <c r="L1" s="625"/>
      <c r="M1" s="625"/>
      <c r="N1" s="625"/>
      <c r="O1" s="625"/>
      <c r="P1" s="625"/>
      <c r="Q1" s="625"/>
      <c r="R1" s="625"/>
      <c r="S1" s="625"/>
      <c r="T1" s="625"/>
      <c r="U1" s="625" t="s">
        <v>3449</v>
      </c>
      <c r="V1" s="625"/>
      <c r="W1" s="625"/>
      <c r="X1" s="625"/>
      <c r="Y1" s="625" t="s">
        <v>3450</v>
      </c>
      <c r="Z1" s="625"/>
      <c r="AA1" s="625"/>
      <c r="AB1" s="625"/>
      <c r="AC1" s="625"/>
      <c r="AD1" s="625"/>
      <c r="AE1" s="625"/>
      <c r="AF1" s="625"/>
      <c r="AG1" s="625"/>
      <c r="AH1" s="625"/>
      <c r="AI1" s="625"/>
      <c r="AJ1" s="625"/>
      <c r="AK1" s="625"/>
      <c r="AL1" s="625"/>
      <c r="AM1" s="625"/>
      <c r="AN1" s="625"/>
      <c r="AO1" s="625"/>
      <c r="AP1" s="625"/>
      <c r="AQ1" s="625"/>
      <c r="AR1" s="625"/>
      <c r="AS1" s="625"/>
      <c r="AT1" s="625"/>
      <c r="AU1" s="625"/>
      <c r="AV1" s="625"/>
      <c r="AW1" s="625"/>
      <c r="AX1" s="625"/>
      <c r="AY1" s="625"/>
      <c r="AZ1" s="625"/>
      <c r="BA1" s="625"/>
      <c r="BB1" s="625" t="s">
        <v>3451</v>
      </c>
      <c r="BC1" s="625"/>
      <c r="BD1" s="625"/>
      <c r="BE1" s="625"/>
      <c r="BF1" s="625"/>
      <c r="BG1" s="625"/>
      <c r="BH1" s="625"/>
      <c r="BI1" s="625"/>
      <c r="BJ1" s="625"/>
      <c r="BK1" s="625"/>
    </row>
    <row r="2" spans="1:63">
      <c r="A2" s="625" t="s">
        <v>2561</v>
      </c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716">
        <f ca="1">(J17-J14-J15)/H13</f>
        <v>47.983392857142853</v>
      </c>
      <c r="M2" s="625">
        <f ca="1">gVitratuXlist</f>
        <v>31.867999999999999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 t="s">
        <v>3452</v>
      </c>
      <c r="AA2" s="625"/>
      <c r="AB2" s="625"/>
      <c r="AC2" s="625"/>
      <c r="AD2" s="625"/>
      <c r="AE2" s="625" t="s">
        <v>3453</v>
      </c>
      <c r="AF2" s="625"/>
      <c r="AG2" s="625"/>
      <c r="AH2" s="625"/>
      <c r="AI2" s="625"/>
      <c r="AJ2" s="625"/>
      <c r="AK2" s="625"/>
      <c r="AL2" s="625"/>
      <c r="AM2" s="625"/>
      <c r="AN2" s="625"/>
      <c r="AO2" s="625"/>
      <c r="AP2" s="625"/>
      <c r="AQ2" s="625"/>
      <c r="AR2" s="625"/>
      <c r="AS2" s="625"/>
      <c r="AT2" s="625"/>
      <c r="AU2" s="625"/>
      <c r="AW2" s="625"/>
      <c r="AX2" s="552" t="str">
        <f>getFormula(Y2)</f>
        <v/>
      </c>
      <c r="AY2" s="625"/>
      <c r="AZ2" s="625"/>
      <c r="BA2" s="625"/>
      <c r="BB2" s="625"/>
      <c r="BC2" s="625"/>
      <c r="BD2" s="625"/>
      <c r="BE2" s="625"/>
      <c r="BF2" s="625"/>
      <c r="BG2" s="625"/>
      <c r="BH2" s="625"/>
      <c r="BI2" s="625"/>
      <c r="BJ2" s="625"/>
      <c r="BK2" s="625"/>
    </row>
    <row r="3" spans="1:63">
      <c r="AZ3" s="552" t="str">
        <f>AQ4&amp;$Y$2</f>
        <v>g</v>
      </c>
      <c r="BA3" s="552" t="str">
        <f>AR4&amp;$Y$2</f>
        <v>m</v>
      </c>
      <c r="BB3" s="552" t="str">
        <f>AS4&amp;$Y$2</f>
        <v>d</v>
      </c>
      <c r="BD3" s="552" t="s">
        <v>3454</v>
      </c>
    </row>
    <row r="4" spans="1:63" ht="25.15" customHeight="1">
      <c r="A4" s="717" t="s">
        <v>3447</v>
      </c>
      <c r="B4" s="718" t="s">
        <v>2602</v>
      </c>
      <c r="C4" s="718"/>
      <c r="D4" s="718"/>
      <c r="E4" s="718"/>
      <c r="F4" s="718"/>
      <c r="G4" s="717" t="s">
        <v>2563</v>
      </c>
      <c r="H4" s="717" t="s">
        <v>1326</v>
      </c>
      <c r="I4" s="717" t="s">
        <v>2564</v>
      </c>
      <c r="J4" s="717" t="s">
        <v>3448</v>
      </c>
      <c r="K4" s="719"/>
      <c r="P4" s="720" t="s">
        <v>3455</v>
      </c>
      <c r="Q4" s="720" t="s">
        <v>3456</v>
      </c>
      <c r="R4" s="720"/>
      <c r="S4" s="720"/>
      <c r="T4" s="720"/>
      <c r="U4" s="720"/>
      <c r="V4" s="720"/>
      <c r="W4" s="720"/>
      <c r="X4" s="720"/>
      <c r="Y4" s="720"/>
      <c r="Z4" s="720"/>
      <c r="AA4" s="720"/>
      <c r="AB4" s="720"/>
      <c r="AC4" s="720"/>
      <c r="AD4" s="720"/>
      <c r="AE4" s="720"/>
      <c r="AF4" s="720"/>
      <c r="AG4" s="720"/>
      <c r="AH4" s="720"/>
      <c r="AI4" s="720"/>
      <c r="AJ4" s="720"/>
      <c r="AK4" s="720"/>
      <c r="AL4" s="720"/>
      <c r="AM4" s="720" t="s">
        <v>1481</v>
      </c>
      <c r="AQ4" s="552" t="s">
        <v>3449</v>
      </c>
      <c r="AR4" s="552" t="s">
        <v>3457</v>
      </c>
      <c r="AS4" s="552" t="s">
        <v>3458</v>
      </c>
      <c r="AT4" s="552" t="s">
        <v>3459</v>
      </c>
      <c r="AU4" s="552" t="str">
        <f>getReferToNamedRangeByName(AT4)</f>
        <v>='C:\Users\volond\Downloads\Telegram Desktop\[Техкарта 2018.xlsm]РГК'!$B$3</v>
      </c>
      <c r="AV4" s="552" t="e">
        <f>Intersect_Name(AW4)</f>
        <v>#VALUE!</v>
      </c>
      <c r="AW4" s="552" t="str">
        <f>RIGHT(AU4,LEN(AU4)-1)</f>
        <v>'C:\Users\volond\Downloads\Telegram Desktop\[Техкарта 2018.xlsm]РГК'!$B$3</v>
      </c>
    </row>
    <row r="5" spans="1:63" ht="25.5">
      <c r="A5" s="721">
        <v>1</v>
      </c>
      <c r="B5" s="722" t="s">
        <v>2567</v>
      </c>
      <c r="C5" s="722"/>
      <c r="D5" s="722"/>
      <c r="E5" s="722"/>
      <c r="F5" s="722"/>
      <c r="G5" s="723"/>
      <c r="H5" s="723"/>
      <c r="I5" s="723"/>
      <c r="J5" s="724">
        <f ca="1">BankersRound(J6+J7+J8+J9,3)</f>
        <v>2843.0410000000002</v>
      </c>
      <c r="K5" s="725"/>
      <c r="R5" s="552" t="str">
        <f>RIGHT(getFormula(Q6),LEN(getFormula(Q6))-1)</f>
        <v>'[Техкарта 2019 20181218_v.xlsm]РГК'!O23*gККЗ</v>
      </c>
      <c r="AQ5" s="717" t="s">
        <v>1326</v>
      </c>
      <c r="AR5" s="552" t="s">
        <v>3456</v>
      </c>
      <c r="AU5" s="552">
        <f>ROW(gCZ)</f>
        <v>8</v>
      </c>
    </row>
    <row r="6" spans="1:63" ht="27" customHeight="1">
      <c r="A6" s="723" t="s">
        <v>2568</v>
      </c>
      <c r="B6" s="726" t="s">
        <v>2569</v>
      </c>
      <c r="C6" s="726"/>
      <c r="D6" s="726"/>
      <c r="E6" s="726"/>
      <c r="F6" s="726"/>
      <c r="G6" s="723" t="s">
        <v>1355</v>
      </c>
      <c r="H6" s="727">
        <f>[14]РГК!F23</f>
        <v>0.4</v>
      </c>
      <c r="I6" s="728">
        <f ca="1">J6/H6</f>
        <v>578.86249999999995</v>
      </c>
      <c r="J6" s="724">
        <f ca="1">BankersRound([14]РГК!O23*gККЗ,3)</f>
        <v>231.54499999999999</v>
      </c>
      <c r="K6" s="725"/>
      <c r="L6" s="552" t="s">
        <v>3460</v>
      </c>
      <c r="M6" s="552">
        <f t="shared" ref="M6:M16" ca="1" si="0">H6*N6</f>
        <v>231.54481499999929</v>
      </c>
      <c r="N6" s="729">
        <f ca="1">O6/H6</f>
        <v>578.86203749999822</v>
      </c>
      <c r="O6" s="729">
        <f ca="1">O17-SUM(O7:O16)</f>
        <v>231.54481499999929</v>
      </c>
      <c r="P6" s="729">
        <f ca="1">Q6/H6</f>
        <v>578.86214876033057</v>
      </c>
      <c r="Q6" s="730">
        <f ca="1">[14]РГК!O23*gККЗ</f>
        <v>231.54485950413223</v>
      </c>
      <c r="R6" s="730" t="str">
        <f>RIGHT(getFormula(Q6),LEN(getFormula(Q6))-1)</f>
        <v>'[Техкарта 2019 20181218_v.xlsm]РГК'!O23*gККЗ</v>
      </c>
      <c r="S6" s="730">
        <f ca="1">BankersRound(Q6,4)</f>
        <v>231.54490000000001</v>
      </c>
      <c r="T6" s="730">
        <f ca="1">BankersRound(Q6,3)</f>
        <v>231.54499999999999</v>
      </c>
      <c r="U6" s="730">
        <f ca="1">BankersRound(S6-T6,4)</f>
        <v>-1E-4</v>
      </c>
      <c r="V6" s="730">
        <f ca="1">[14]РГК!U23</f>
        <v>231.54498000000001</v>
      </c>
      <c r="W6" s="730">
        <f ca="1">V6/H6</f>
        <v>578.86244999999997</v>
      </c>
      <c r="X6" s="730">
        <f ca="1">BankersRound(H6*W6,3)</f>
        <v>231.54499999999999</v>
      </c>
      <c r="Y6" s="731">
        <f ca="1">X6-V6</f>
        <v>1.9999999977926564E-5</v>
      </c>
      <c r="Z6" s="731">
        <v>4</v>
      </c>
      <c r="AA6" s="732">
        <f t="shared" ref="AA6:AA16" si="1">LEN(TRUNC(H6))+4</f>
        <v>5</v>
      </c>
      <c r="AB6" s="732">
        <f ca="1">LEN(regex(V6/H6-TRUNC(V6/H6),".+0*$"))</f>
        <v>17</v>
      </c>
      <c r="AC6" s="733">
        <f ca="1">V6/H6-TRUNC(V6/H6)</f>
        <v>0.86244999999996708</v>
      </c>
      <c r="AD6" s="732" t="str">
        <f ca="1">regex(V6/H6-TRUNC(V6/H6),".+0*$")</f>
        <v>0,862449999999967</v>
      </c>
      <c r="AE6" s="732"/>
      <c r="AF6" s="732"/>
      <c r="AG6" s="732"/>
      <c r="AH6" s="732"/>
      <c r="AI6" s="732"/>
      <c r="AJ6" s="731">
        <f t="shared" ref="AJ6:AJ16" ca="1" si="2">V6/H6-TRUNC(V6/H6)</f>
        <v>0.86244999999996708</v>
      </c>
      <c r="AK6" s="731"/>
      <c r="AL6" s="731"/>
      <c r="AM6" s="552" t="str">
        <f>"g_K_1_1"</f>
        <v>g_K_1_1</v>
      </c>
      <c r="AN6" s="552" t="str">
        <f t="shared" ref="AN6:AN16" si="3">REPLACE(A6,2,1,"_")</f>
        <v>1_1.</v>
      </c>
      <c r="AO6" s="552" t="str">
        <f>REPLACE(AN6,4,1,"")</f>
        <v>1_1</v>
      </c>
      <c r="AQ6" s="552" t="str">
        <f t="shared" ref="AQ6:AQ16" si="4">getFormula(H6)</f>
        <v>='[Техкарта 2019 20181218_v.xlsm]РГК'!F23</v>
      </c>
      <c r="AR6" s="552" t="str">
        <f>getFormula(V6)</f>
        <v>='[Техкарта 2019 20181218_v.xlsm]РГК'!U23</v>
      </c>
      <c r="AT6" s="552" t="str">
        <f>REGPLACE(AR6,"1.215","gККЗ")</f>
        <v>='[Техкарта 2019 20181218_v.xlsm]РГК'!U23</v>
      </c>
      <c r="AV6" s="552" t="str">
        <f>CellReflist(V6)</f>
        <v>'[Техкарта 2019 20181218_v.xlsm]РГК'!U23</v>
      </c>
      <c r="AW6" s="552">
        <v>84</v>
      </c>
      <c r="AX6" s="552">
        <f>19+65</f>
        <v>84</v>
      </c>
      <c r="AY6" s="552">
        <f>regex(AV6,"\d+")+65</f>
        <v>2084</v>
      </c>
      <c r="AZ6" s="552" t="str">
        <f>REGPLACE(AR6,regex(AV6,"\d+"),regex(AV6,"\d+")+65)</f>
        <v>='[Техкарта 2084 20181218_v.xlsm]РГК'!U23</v>
      </c>
      <c r="BA6" s="552" t="str">
        <f>REGPLACE(getFormula(V6),"gКК3","1")</f>
        <v>='[Техкарта 2019 20181218_v.xlsm]РГК'!U23</v>
      </c>
    </row>
    <row r="7" spans="1:63" ht="24.6" customHeight="1">
      <c r="A7" s="723" t="s">
        <v>2570</v>
      </c>
      <c r="B7" s="726" t="s">
        <v>2571</v>
      </c>
      <c r="C7" s="726"/>
      <c r="D7" s="726"/>
      <c r="E7" s="726"/>
      <c r="F7" s="726"/>
      <c r="G7" s="723" t="s">
        <v>1355</v>
      </c>
      <c r="H7" s="734">
        <f>[14]РГК!F24</f>
        <v>0.4</v>
      </c>
      <c r="I7" s="728">
        <f ca="1">J7/H7</f>
        <v>1010.66</v>
      </c>
      <c r="J7" s="724">
        <f ca="1">BankersRound([14]РГК!O24*gККЗ,3)</f>
        <v>404.26400000000001</v>
      </c>
      <c r="K7" s="725"/>
      <c r="L7" s="552" t="s">
        <v>3461</v>
      </c>
      <c r="M7" s="552">
        <f t="shared" ca="1" si="0"/>
        <v>404.263305</v>
      </c>
      <c r="N7" s="729">
        <f ca="1">O7/H7</f>
        <v>1010.6582625</v>
      </c>
      <c r="O7" s="729">
        <f t="shared" ref="O7:O15" ca="1" si="5">V7</f>
        <v>404.263305</v>
      </c>
      <c r="P7" s="729">
        <f ca="1">Q7/H7</f>
        <v>1010.6590909090909</v>
      </c>
      <c r="Q7" s="730">
        <f ca="1">[14]РГК!O24*gККЗ</f>
        <v>404.26363636363635</v>
      </c>
      <c r="R7" s="730" t="str">
        <f>RIGHT(getFormula(Q7),LEN(getFormula(Q7))-1)</f>
        <v>'[Техкарта 2019 20181218_v.xlsm]РГК'!O24*gККЗ</v>
      </c>
      <c r="S7" s="730">
        <f ca="1">BankersRound(Q7,4)</f>
        <v>404.2636</v>
      </c>
      <c r="T7" s="730">
        <f ca="1">BankersRound(Q7,3)</f>
        <v>404.26400000000001</v>
      </c>
      <c r="U7" s="730">
        <f ca="1">BankersRound(S7-T7,4)</f>
        <v>-4.0000000000000002E-4</v>
      </c>
      <c r="V7" s="730">
        <f ca="1">[14]РГК!U24</f>
        <v>404.263305</v>
      </c>
      <c r="W7" s="730">
        <f ca="1">V7/H7</f>
        <v>1010.6582625</v>
      </c>
      <c r="X7" s="730">
        <f ca="1">BankersRound(H7*W7,3)</f>
        <v>404.26299999999998</v>
      </c>
      <c r="Y7" s="731">
        <f ca="1">X7-V7</f>
        <v>-3.0500000002575689E-4</v>
      </c>
      <c r="Z7" s="731">
        <v>6</v>
      </c>
      <c r="AA7" s="732">
        <f t="shared" si="1"/>
        <v>5</v>
      </c>
      <c r="AB7" s="732">
        <f ca="1">LEN(V7/H7-TRUNC(V7/H7))</f>
        <v>17</v>
      </c>
      <c r="AC7" s="732"/>
      <c r="AD7" s="732"/>
      <c r="AE7" s="732"/>
      <c r="AF7" s="732"/>
      <c r="AG7" s="732"/>
      <c r="AH7" s="732"/>
      <c r="AI7" s="732"/>
      <c r="AJ7" s="731">
        <f t="shared" ca="1" si="2"/>
        <v>0.65826249999997799</v>
      </c>
      <c r="AK7" s="731"/>
      <c r="AL7" s="731"/>
      <c r="AN7" s="552" t="str">
        <f t="shared" si="3"/>
        <v>1_2.</v>
      </c>
      <c r="AO7" s="552" t="str">
        <f t="shared" ref="AO7:AO16" si="6">REPLACE(AN7,4,1,"")</f>
        <v>1_2</v>
      </c>
      <c r="AQ7" s="552" t="str">
        <f t="shared" si="4"/>
        <v>='[Техкарта 2019 20181218_v.xlsm]РГК'!F24</v>
      </c>
      <c r="AR7" s="552" t="str">
        <f t="shared" ref="AR7:AR16" si="7">getFormula(V7)</f>
        <v>='[Техкарта 2019 20181218_v.xlsm]РГК'!U24</v>
      </c>
      <c r="AT7" s="552" t="str">
        <f t="shared" ref="AT7:AT16" si="8">REGPLACE(AR7,"1.215","gККЗ")</f>
        <v>='[Техкарта 2019 20181218_v.xlsm]РГК'!U24</v>
      </c>
      <c r="AV7" s="552" t="str">
        <f t="shared" ref="AV7:AV16" si="9">CellReflist(V7)</f>
        <v>'[Техкарта 2019 20181218_v.xlsm]РГК'!U24</v>
      </c>
      <c r="AY7" s="552" t="str">
        <f t="shared" ref="AY7:AY16" si="10">regex(AV7,"\d+")</f>
        <v>2019</v>
      </c>
      <c r="AZ7" s="552" t="str">
        <f t="shared" ref="AZ7:AZ16" si="11">REGPLACE(AR7,regex(AV7,"\d+"),regex(AV7,"\d+")+65)</f>
        <v>='[Техкарта 2084 20181218_v.xlsm]РГК'!U24</v>
      </c>
    </row>
    <row r="8" spans="1:63" ht="19.149999999999999" customHeight="1">
      <c r="A8" s="723" t="s">
        <v>2572</v>
      </c>
      <c r="B8" s="726" t="s">
        <v>2573</v>
      </c>
      <c r="C8" s="726"/>
      <c r="D8" s="726"/>
      <c r="E8" s="726"/>
      <c r="F8" s="726"/>
      <c r="G8" s="723" t="s">
        <v>2574</v>
      </c>
      <c r="H8" s="727">
        <f>[14]РГК!F25</f>
        <v>161</v>
      </c>
      <c r="I8" s="728">
        <f ca="1">J8/H8</f>
        <v>8.1854161490683239</v>
      </c>
      <c r="J8" s="724">
        <f ca="1">BankersRound([14]РГК!O25*gККЗ,3)</f>
        <v>1317.8520000000001</v>
      </c>
      <c r="K8" s="725"/>
      <c r="L8" s="552" t="s">
        <v>3462</v>
      </c>
      <c r="M8" s="552">
        <f t="shared" ca="1" si="0"/>
        <v>1317.8521800000001</v>
      </c>
      <c r="N8" s="729">
        <f ca="1">O8/H8</f>
        <v>8.1854172670807461</v>
      </c>
      <c r="O8" s="729">
        <f t="shared" ca="1" si="5"/>
        <v>1317.8521800000001</v>
      </c>
      <c r="P8" s="729">
        <f ca="1">Q8/H8</f>
        <v>8.1854181818181839</v>
      </c>
      <c r="Q8" s="730">
        <f ca="1">[14]РГК!O25*gККЗ</f>
        <v>1317.8523272727275</v>
      </c>
      <c r="R8" s="730" t="str">
        <f>RIGHT(getFormula(Q8),LEN(getFormula(Q8))-1)</f>
        <v>'[Техкарта 2019 20181218_v.xlsm]РГК'!O25*gККЗ</v>
      </c>
      <c r="S8" s="730">
        <f ca="1">BankersRound(Q8,4)</f>
        <v>1317.8523</v>
      </c>
      <c r="T8" s="730">
        <f ca="1">BankersRound(Q8,3)</f>
        <v>1317.8520000000001</v>
      </c>
      <c r="U8" s="730">
        <f ca="1">BankersRound(S8-T8,4)</f>
        <v>2.9999999999999997E-4</v>
      </c>
      <c r="V8" s="730">
        <f ca="1">[14]РГК!U25</f>
        <v>1317.8521800000001</v>
      </c>
      <c r="W8" s="730">
        <f ca="1">V8/H8</f>
        <v>8.1854172670807461</v>
      </c>
      <c r="X8" s="730">
        <f ca="1">BankersRound(H8*W8,3)</f>
        <v>1317.8520000000001</v>
      </c>
      <c r="Y8" s="731">
        <f ca="1">X8-V8</f>
        <v>-1.8000000000029104E-4</v>
      </c>
      <c r="Z8" s="731">
        <v>7</v>
      </c>
      <c r="AA8" s="732">
        <f t="shared" si="1"/>
        <v>7</v>
      </c>
      <c r="AB8" s="732">
        <f ca="1">LEN(V8/H8-TRUNC(V8/H8))</f>
        <v>17</v>
      </c>
      <c r="AC8" s="732"/>
      <c r="AD8" s="732"/>
      <c r="AE8" s="732"/>
      <c r="AF8" s="732"/>
      <c r="AG8" s="732"/>
      <c r="AH8" s="732"/>
      <c r="AI8" s="732"/>
      <c r="AJ8" s="731">
        <f t="shared" ca="1" si="2"/>
        <v>0.18541726708074613</v>
      </c>
      <c r="AK8" s="731"/>
      <c r="AL8" s="731"/>
      <c r="AM8" s="552">
        <v>1.865</v>
      </c>
      <c r="AN8" s="552" t="str">
        <f t="shared" si="3"/>
        <v>1_3.</v>
      </c>
      <c r="AO8" s="552" t="str">
        <f t="shared" si="6"/>
        <v>1_3</v>
      </c>
      <c r="AQ8" s="552" t="str">
        <f t="shared" si="4"/>
        <v>='[Техкарта 2019 20181218_v.xlsm]РГК'!F25</v>
      </c>
      <c r="AR8" s="552" t="str">
        <f t="shared" si="7"/>
        <v>='[Техкарта 2019 20181218_v.xlsm]РГК'!U25</v>
      </c>
      <c r="AT8" s="552" t="str">
        <f t="shared" si="8"/>
        <v>='[Техкарта 2019 20181218_v.xlsm]РГК'!U25</v>
      </c>
      <c r="AV8" s="552" t="str">
        <f t="shared" si="9"/>
        <v>'[Техкарта 2019 20181218_v.xlsm]РГК'!U25</v>
      </c>
      <c r="AY8" s="552" t="str">
        <f t="shared" si="10"/>
        <v>2019</v>
      </c>
      <c r="AZ8" s="552" t="str">
        <f t="shared" si="11"/>
        <v>='[Техкарта 2084 20181218_v.xlsm]РГК'!U25</v>
      </c>
    </row>
    <row r="9" spans="1:63" ht="18" customHeight="1">
      <c r="A9" s="723" t="s">
        <v>2575</v>
      </c>
      <c r="B9" s="726" t="s">
        <v>2576</v>
      </c>
      <c r="C9" s="726"/>
      <c r="D9" s="726"/>
      <c r="E9" s="726"/>
      <c r="F9" s="726"/>
      <c r="G9" s="723" t="s">
        <v>2577</v>
      </c>
      <c r="H9" s="727">
        <f>[14]РГК!F60+[14]РГК!F61+[14]РГК!F62</f>
        <v>8</v>
      </c>
      <c r="I9" s="728">
        <f ca="1">J9/H9</f>
        <v>111.1725</v>
      </c>
      <c r="J9" s="724">
        <f ca="1">BankersRound(([14]РГК!O60+[14]РГК!O61+[14]РГК!O62)*gККЗ,3)</f>
        <v>889.38</v>
      </c>
      <c r="K9" s="725"/>
      <c r="L9" s="552" t="s">
        <v>3463</v>
      </c>
      <c r="M9" s="552">
        <f t="shared" ca="1" si="0"/>
        <v>889.38</v>
      </c>
      <c r="N9" s="729">
        <f ca="1">O9/H9</f>
        <v>111.1725</v>
      </c>
      <c r="O9" s="729">
        <f t="shared" ca="1" si="5"/>
        <v>889.38</v>
      </c>
      <c r="P9" s="729">
        <f ca="1">Q9/H9</f>
        <v>111.17250000000001</v>
      </c>
      <c r="Q9" s="730">
        <f ca="1">([14]РГК!O60+[14]РГК!O61+[14]РГК!O62)*gККЗ</f>
        <v>889.38000000000011</v>
      </c>
      <c r="R9" s="730" t="str">
        <f>RIGHT(getFormula(Q9),LEN(getFormula(Q9))-1)</f>
        <v>('[Техкарта 2019 20181218_v.xlsm]РГК'!O60+'[Техкарта 2019 20181218_v.xlsm]РГК'!O61+'[Техкарта 2019 20181218_v.xlsm]РГК'!O62)*gККЗ</v>
      </c>
      <c r="S9" s="730">
        <f ca="1">BankersRound(Q9,4)</f>
        <v>889.38</v>
      </c>
      <c r="T9" s="730">
        <f ca="1">BankersRound(Q9,3)</f>
        <v>889.38</v>
      </c>
      <c r="U9" s="730">
        <f ca="1">BankersRound(S9-T9,4)</f>
        <v>0</v>
      </c>
      <c r="V9" s="730">
        <f ca="1">([14]РГК!U60+[14]РГК!U61+[14]РГК!U62)</f>
        <v>889.38</v>
      </c>
      <c r="W9" s="730">
        <f ca="1">V9/H9</f>
        <v>111.1725</v>
      </c>
      <c r="X9" s="730">
        <f ca="1">BankersRound(H9*W9,3)</f>
        <v>889.38</v>
      </c>
      <c r="Y9" s="731">
        <f ca="1">X9-V9</f>
        <v>0</v>
      </c>
      <c r="Z9" s="731">
        <v>6</v>
      </c>
      <c r="AA9" s="732">
        <f t="shared" si="1"/>
        <v>5</v>
      </c>
      <c r="AB9" s="732">
        <f ca="1">LEN(V9/H9-TRUNC(V9/H9))</f>
        <v>17</v>
      </c>
      <c r="AC9" s="732"/>
      <c r="AD9" s="732"/>
      <c r="AE9" s="732"/>
      <c r="AF9" s="732"/>
      <c r="AG9" s="732"/>
      <c r="AH9" s="732"/>
      <c r="AI9" s="732"/>
      <c r="AJ9" s="731">
        <f t="shared" ca="1" si="2"/>
        <v>0.17249999999999943</v>
      </c>
      <c r="AK9" s="731"/>
      <c r="AL9" s="731"/>
      <c r="AN9" s="552" t="str">
        <f t="shared" si="3"/>
        <v>1_4.</v>
      </c>
      <c r="AO9" s="552" t="str">
        <f t="shared" si="6"/>
        <v>1_4</v>
      </c>
      <c r="AQ9" s="552" t="str">
        <f t="shared" si="4"/>
        <v>='[Техкарта 2019 20181218_v.xlsm]РГК'!F60+'[Техкарта 2019 20181218_v.xlsm]РГК'!F61+'[Техкарта 2019 20181218_v.xlsm]РГК'!F62</v>
      </c>
      <c r="AR9" s="552" t="str">
        <f t="shared" si="7"/>
        <v>=('[Техкарта 2019 20181218_v.xlsm]РГК'!U60+'[Техкарта 2019 20181218_v.xlsm]РГК'!U61+'[Техкарта 2019 20181218_v.xlsm]РГК'!U62)</v>
      </c>
      <c r="AT9" s="552" t="str">
        <f t="shared" si="8"/>
        <v>=('[Техкарта 2019 20181218_v.xlsm]РГК'!U60+'[Техкарта 2019 20181218_v.xlsm]РГК'!U61+'[Техкарта 2019 20181218_v.xlsm]РГК'!U62)</v>
      </c>
      <c r="AV9" s="552" t="str">
        <f t="shared" si="9"/>
        <v>'[Техкарта 2019 20181218_v.xlsm]РГК'!U60,'[Техкарта 2019 20181218_v.xlsm]РГК'!U61,'[Техкарта 2019 20181218_v.xlsm]РГК'!U62</v>
      </c>
      <c r="AY9" s="552" t="str">
        <f t="shared" si="10"/>
        <v>2019</v>
      </c>
      <c r="AZ9" s="552" t="str">
        <f t="shared" si="11"/>
        <v>=('[Техкарта 2084 20181218_v.xlsm]РГК'!U60+'[Техкарта 2084 20181218_v.xlsm]РГК'!U61+'[Техкарта 2084 20181218_v.xlsm]РГК'!U62)</v>
      </c>
    </row>
    <row r="10" spans="1:63" ht="15" customHeight="1">
      <c r="A10" s="721">
        <v>2</v>
      </c>
      <c r="B10" s="735" t="s">
        <v>2579</v>
      </c>
      <c r="C10" s="735"/>
      <c r="D10" s="735"/>
      <c r="E10" s="735"/>
      <c r="F10" s="735"/>
      <c r="G10" s="736"/>
      <c r="H10" s="737"/>
      <c r="I10" s="738"/>
      <c r="J10" s="724">
        <f ca="1">BankersRound(J11+J12+J13+J14+J15+J16,3)</f>
        <v>7583.8580000000002</v>
      </c>
      <c r="K10" s="725"/>
      <c r="M10" s="552">
        <f t="shared" si="0"/>
        <v>0</v>
      </c>
      <c r="N10" s="729"/>
      <c r="O10" s="729">
        <f t="shared" si="5"/>
        <v>0</v>
      </c>
      <c r="P10" s="729"/>
      <c r="Q10" s="730"/>
      <c r="R10" s="730"/>
      <c r="S10" s="730"/>
      <c r="T10" s="730"/>
      <c r="U10" s="730">
        <f ca="1">SUM(U6:U9)</f>
        <v>-2.0000000000000004E-4</v>
      </c>
      <c r="V10" s="730"/>
      <c r="W10" s="730"/>
      <c r="X10" s="730"/>
      <c r="Y10" s="731"/>
      <c r="Z10" s="731"/>
      <c r="AA10" s="732">
        <f t="shared" si="1"/>
        <v>5</v>
      </c>
      <c r="AB10" s="732"/>
      <c r="AC10" s="732"/>
      <c r="AD10" s="732"/>
      <c r="AE10" s="732"/>
      <c r="AF10" s="732"/>
      <c r="AG10" s="732"/>
      <c r="AH10" s="732"/>
      <c r="AI10" s="732"/>
      <c r="AJ10" s="731" t="e">
        <f t="shared" si="2"/>
        <v>#DIV/0!</v>
      </c>
      <c r="AK10" s="731"/>
      <c r="AL10" s="731"/>
      <c r="AN10" s="552" t="str">
        <f t="shared" si="3"/>
        <v>2_</v>
      </c>
      <c r="AO10" s="552" t="str">
        <f t="shared" si="6"/>
        <v>2_</v>
      </c>
      <c r="AQ10" s="552" t="str">
        <f t="shared" si="4"/>
        <v/>
      </c>
      <c r="AR10" s="552" t="str">
        <f t="shared" si="7"/>
        <v/>
      </c>
      <c r="AT10" s="552" t="str">
        <f t="shared" si="8"/>
        <v/>
      </c>
      <c r="AV10" s="552">
        <f t="shared" si="9"/>
        <v>0</v>
      </c>
      <c r="AY10" s="552" t="str">
        <f t="shared" si="10"/>
        <v>0</v>
      </c>
      <c r="AZ10" s="552" t="str">
        <f t="shared" si="11"/>
        <v/>
      </c>
    </row>
    <row r="11" spans="1:63" ht="22.9" customHeight="1">
      <c r="A11" s="723" t="s">
        <v>2580</v>
      </c>
      <c r="B11" s="726" t="s">
        <v>2581</v>
      </c>
      <c r="C11" s="726"/>
      <c r="D11" s="726"/>
      <c r="E11" s="726"/>
      <c r="F11" s="726"/>
      <c r="G11" s="723" t="s">
        <v>2577</v>
      </c>
      <c r="H11" s="727">
        <f>[14]РГК!F27+[14]РГК!F28+[14]РГК!F29</f>
        <v>140</v>
      </c>
      <c r="I11" s="728">
        <f t="shared" ref="I11:I16" ca="1" si="12">J11/H11</f>
        <v>4.0987999999999998</v>
      </c>
      <c r="J11" s="724">
        <f ca="1">BankersRound(([14]РГК!O27+[14]РГК!O28+[14]РГК!O29)*gККЗ,3)</f>
        <v>573.83199999999999</v>
      </c>
      <c r="K11" s="725"/>
      <c r="L11" s="552" t="s">
        <v>3464</v>
      </c>
      <c r="M11" s="552">
        <f t="shared" ca="1" si="0"/>
        <v>573.83235500000001</v>
      </c>
      <c r="N11" s="729">
        <f t="shared" ref="N11:N16" ca="1" si="13">O11/H11</f>
        <v>4.0988025357142854</v>
      </c>
      <c r="O11" s="729">
        <f t="shared" ca="1" si="5"/>
        <v>573.83235500000001</v>
      </c>
      <c r="P11" s="729">
        <f t="shared" ref="P11:P16" ca="1" si="14">Q11/H11</f>
        <v>4.0988019799248088</v>
      </c>
      <c r="Q11" s="730">
        <f ca="1">([14]РГК!O27+[14]РГК!O28+[14]РГК!O29)*gККЗ</f>
        <v>573.83227718947319</v>
      </c>
      <c r="R11" s="730" t="str">
        <f t="shared" ref="R11:R16" si="15">RIGHT(getFormula(Q11),LEN(getFormula(Q11))-1)</f>
        <v>('[Техкарта 2019 20181218_v.xlsm]РГК'!O27+'[Техкарта 2019 20181218_v.xlsm]РГК'!O28+'[Техкарта 2019 20181218_v.xlsm]РГК'!O29)*gККЗ</v>
      </c>
      <c r="S11" s="730">
        <f t="shared" ref="S11:S16" ca="1" si="16">BankersRound(Q11,4)</f>
        <v>573.83230000000003</v>
      </c>
      <c r="T11" s="730">
        <f t="shared" ref="T11:T16" ca="1" si="17">BankersRound(Q11,3)</f>
        <v>573.83199999999999</v>
      </c>
      <c r="U11" s="730">
        <f t="shared" ref="U11:U16" ca="1" si="18">BankersRound(S11-T11,4)</f>
        <v>2.9999999999999997E-4</v>
      </c>
      <c r="V11" s="730">
        <f ca="1">([14]РГК!U27+[14]РГК!U28+[14]РГК!U29)</f>
        <v>573.83235500000001</v>
      </c>
      <c r="W11" s="730">
        <f t="shared" ref="W11:W16" ca="1" si="19">V11/H11</f>
        <v>4.0988025357142854</v>
      </c>
      <c r="X11" s="730">
        <f t="shared" ref="X11:X16" ca="1" si="20">BankersRound(H11*W11,3)</f>
        <v>573.83199999999999</v>
      </c>
      <c r="Y11" s="731">
        <f t="shared" ref="Y11:Y16" ca="1" si="21">X11-V11</f>
        <v>-3.5500000001320586E-4</v>
      </c>
      <c r="Z11" s="731">
        <v>5</v>
      </c>
      <c r="AA11" s="732">
        <f t="shared" si="1"/>
        <v>7</v>
      </c>
      <c r="AB11" s="732">
        <f t="shared" ref="AB11:AB16" ca="1" si="22">LEN(V11/H11-TRUNC(V11/H11))</f>
        <v>18</v>
      </c>
      <c r="AC11" s="732"/>
      <c r="AD11" s="732"/>
      <c r="AE11" s="732"/>
      <c r="AF11" s="732"/>
      <c r="AG11" s="732"/>
      <c r="AH11" s="732"/>
      <c r="AI11" s="732"/>
      <c r="AJ11" s="731">
        <f t="shared" ca="1" si="2"/>
        <v>9.8802535714285433E-2</v>
      </c>
      <c r="AK11" s="731"/>
      <c r="AL11" s="731"/>
      <c r="AN11" s="552" t="str">
        <f t="shared" si="3"/>
        <v>2_1.</v>
      </c>
      <c r="AO11" s="552" t="str">
        <f t="shared" si="6"/>
        <v>2_1</v>
      </c>
      <c r="AQ11" s="552" t="str">
        <f t="shared" si="4"/>
        <v>='[Техкарта 2019 20181218_v.xlsm]РГК'!F27+'[Техкарта 2019 20181218_v.xlsm]РГК'!F28+'[Техкарта 2019 20181218_v.xlsm]РГК'!F29</v>
      </c>
      <c r="AR11" s="552" t="str">
        <f t="shared" si="7"/>
        <v>=('[Техкарта 2019 20181218_v.xlsm]РГК'!U27+'[Техкарта 2019 20181218_v.xlsm]РГК'!U28+'[Техкарта 2019 20181218_v.xlsm]РГК'!U29)</v>
      </c>
      <c r="AT11" s="552" t="str">
        <f t="shared" si="8"/>
        <v>=('[Техкарта 2019 20181218_v.xlsm]РГК'!U27+'[Техкарта 2019 20181218_v.xlsm]РГК'!U28+'[Техкарта 2019 20181218_v.xlsm]РГК'!U29)</v>
      </c>
      <c r="AV11" s="552" t="str">
        <f t="shared" si="9"/>
        <v>'[Техкарта 2019 20181218_v.xlsm]РГК'!U27,'[Техкарта 2019 20181218_v.xlsm]РГК'!U28,'[Техкарта 2019 20181218_v.xlsm]РГК'!U29</v>
      </c>
      <c r="AY11" s="552" t="str">
        <f t="shared" si="10"/>
        <v>2019</v>
      </c>
      <c r="AZ11" s="552" t="str">
        <f t="shared" si="11"/>
        <v>=('[Техкарта 2084 20181218_v.xlsm]РГК'!U27+'[Техкарта 2084 20181218_v.xlsm]РГК'!U28+'[Техкарта 2084 20181218_v.xlsm]РГК'!U29)</v>
      </c>
    </row>
    <row r="12" spans="1:63" ht="30" customHeight="1">
      <c r="A12" s="723" t="s">
        <v>2582</v>
      </c>
      <c r="B12" s="726" t="s">
        <v>2583</v>
      </c>
      <c r="C12" s="726"/>
      <c r="D12" s="726"/>
      <c r="E12" s="726"/>
      <c r="F12" s="726"/>
      <c r="G12" s="723" t="s">
        <v>2577</v>
      </c>
      <c r="H12" s="727">
        <f>[14]РГК!F31+[14]РГК!F32+[14]РГК!F33</f>
        <v>140</v>
      </c>
      <c r="I12" s="728">
        <f t="shared" ca="1" si="12"/>
        <v>5.3216785714285715</v>
      </c>
      <c r="J12" s="724">
        <f ca="1">BankersRound(([14]РГК!O31+[14]РГК!O32+[14]РГК!O33)*gККЗ,3)</f>
        <v>745.03499999999997</v>
      </c>
      <c r="K12" s="725"/>
      <c r="L12" s="552" t="s">
        <v>3465</v>
      </c>
      <c r="M12" s="552">
        <f t="shared" ca="1" si="0"/>
        <v>745.03435500000001</v>
      </c>
      <c r="N12" s="729">
        <f t="shared" ca="1" si="13"/>
        <v>5.321673964285714</v>
      </c>
      <c r="O12" s="729">
        <f t="shared" ca="1" si="5"/>
        <v>745.03435500000001</v>
      </c>
      <c r="P12" s="729">
        <f t="shared" ca="1" si="14"/>
        <v>5.3216785312666568</v>
      </c>
      <c r="Q12" s="730">
        <f ca="1">([14]РГК!O31+[14]РГК!O32+[14]РГК!O33)*gККЗ</f>
        <v>745.03499437733194</v>
      </c>
      <c r="R12" s="730" t="str">
        <f t="shared" si="15"/>
        <v>('[Техкарта 2019 20181218_v.xlsm]РГК'!O31+'[Техкарта 2019 20181218_v.xlsm]РГК'!O32+'[Техкарта 2019 20181218_v.xlsm]РГК'!O33)*gККЗ</v>
      </c>
      <c r="S12" s="730">
        <f t="shared" ca="1" si="16"/>
        <v>745.03499999999997</v>
      </c>
      <c r="T12" s="730">
        <f t="shared" ca="1" si="17"/>
        <v>745.03499999999997</v>
      </c>
      <c r="U12" s="730">
        <f t="shared" ca="1" si="18"/>
        <v>0</v>
      </c>
      <c r="V12" s="730">
        <f ca="1">([14]РГК!U31+[14]РГК!U32+[14]РГК!U33)</f>
        <v>745.03435500000001</v>
      </c>
      <c r="W12" s="730">
        <f t="shared" ca="1" si="19"/>
        <v>5.321673964285714</v>
      </c>
      <c r="X12" s="730">
        <f t="shared" ca="1" si="20"/>
        <v>745.03399999999999</v>
      </c>
      <c r="Y12" s="731">
        <f t="shared" ca="1" si="21"/>
        <v>-3.5500000001320586E-4</v>
      </c>
      <c r="Z12" s="731">
        <v>7</v>
      </c>
      <c r="AA12" s="732">
        <f t="shared" si="1"/>
        <v>7</v>
      </c>
      <c r="AB12" s="732">
        <f t="shared" ca="1" si="22"/>
        <v>17</v>
      </c>
      <c r="AC12" s="732"/>
      <c r="AD12" s="732"/>
      <c r="AE12" s="732"/>
      <c r="AF12" s="732"/>
      <c r="AG12" s="732"/>
      <c r="AH12" s="732"/>
      <c r="AI12" s="732"/>
      <c r="AJ12" s="731">
        <f t="shared" ca="1" si="2"/>
        <v>0.32167396428571404</v>
      </c>
      <c r="AK12" s="731"/>
      <c r="AL12" s="731"/>
      <c r="AN12" s="552" t="str">
        <f t="shared" si="3"/>
        <v>2_2.</v>
      </c>
      <c r="AO12" s="552" t="str">
        <f t="shared" si="6"/>
        <v>2_2</v>
      </c>
      <c r="AQ12" s="552" t="str">
        <f t="shared" si="4"/>
        <v>='[Техкарта 2019 20181218_v.xlsm]РГК'!F31+'[Техкарта 2019 20181218_v.xlsm]РГК'!F32+'[Техкарта 2019 20181218_v.xlsm]РГК'!F33</v>
      </c>
      <c r="AR12" s="552" t="str">
        <f t="shared" si="7"/>
        <v>=('[Техкарта 2019 20181218_v.xlsm]РГК'!U31+'[Техкарта 2019 20181218_v.xlsm]РГК'!U32+'[Техкарта 2019 20181218_v.xlsm]РГК'!U33)</v>
      </c>
      <c r="AT12" s="552" t="str">
        <f t="shared" si="8"/>
        <v>=('[Техкарта 2019 20181218_v.xlsm]РГК'!U31+'[Техкарта 2019 20181218_v.xlsm]РГК'!U32+'[Техкарта 2019 20181218_v.xlsm]РГК'!U33)</v>
      </c>
      <c r="AV12" s="552" t="str">
        <f t="shared" si="9"/>
        <v>'[Техкарта 2019 20181218_v.xlsm]РГК'!U31,'[Техкарта 2019 20181218_v.xlsm]РГК'!U32,'[Техкарта 2019 20181218_v.xlsm]РГК'!U33</v>
      </c>
      <c r="AY12" s="552" t="str">
        <f t="shared" si="10"/>
        <v>2019</v>
      </c>
      <c r="AZ12" s="552" t="str">
        <f t="shared" si="11"/>
        <v>=('[Техкарта 2084 20181218_v.xlsm]РГК'!U31+'[Техкарта 2084 20181218_v.xlsm]РГК'!U32+'[Техкарта 2084 20181218_v.xlsm]РГК'!U33)</v>
      </c>
    </row>
    <row r="13" spans="1:63" ht="31.9" customHeight="1">
      <c r="A13" s="723" t="s">
        <v>2584</v>
      </c>
      <c r="B13" s="726" t="s">
        <v>2585</v>
      </c>
      <c r="C13" s="726"/>
      <c r="D13" s="726"/>
      <c r="E13" s="726"/>
      <c r="F13" s="726"/>
      <c r="G13" s="723" t="s">
        <v>2577</v>
      </c>
      <c r="H13" s="727">
        <f>[14]РГК!F35+[14]РГК!F36+[14]РГК!F37</f>
        <v>140</v>
      </c>
      <c r="I13" s="728">
        <f t="shared" ca="1" si="12"/>
        <v>5.0278499999999999</v>
      </c>
      <c r="J13" s="724">
        <f ca="1">BankersRound(([14]РГК!O35+[14]РГК!O36+[14]РГК!O37)*gККЗ,3)</f>
        <v>703.899</v>
      </c>
      <c r="K13" s="725"/>
      <c r="L13" s="552" t="s">
        <v>3466</v>
      </c>
      <c r="M13" s="552">
        <f t="shared" ca="1" si="0"/>
        <v>703.89931999999999</v>
      </c>
      <c r="N13" s="729">
        <f t="shared" ca="1" si="13"/>
        <v>5.0278522857142853</v>
      </c>
      <c r="O13" s="729">
        <f t="shared" ca="1" si="5"/>
        <v>703.89931999999999</v>
      </c>
      <c r="P13" s="729">
        <f t="shared" ca="1" si="14"/>
        <v>5.0278506947597847</v>
      </c>
      <c r="Q13" s="730">
        <f ca="1">([14]РГК!O35+[14]РГК!O36+[14]РГК!O37)*gККЗ</f>
        <v>703.89909726636984</v>
      </c>
      <c r="R13" s="730" t="str">
        <f t="shared" si="15"/>
        <v>('[Техкарта 2019 20181218_v.xlsm]РГК'!O35+'[Техкарта 2019 20181218_v.xlsm]РГК'!O36+'[Техкарта 2019 20181218_v.xlsm]РГК'!O37)*gККЗ</v>
      </c>
      <c r="S13" s="730">
        <f t="shared" ca="1" si="16"/>
        <v>703.89909999999998</v>
      </c>
      <c r="T13" s="730">
        <f t="shared" ca="1" si="17"/>
        <v>703.899</v>
      </c>
      <c r="U13" s="730">
        <f t="shared" ca="1" si="18"/>
        <v>1E-4</v>
      </c>
      <c r="V13" s="730">
        <f ca="1">([14]РГК!U35+[14]РГК!U36+[14]РГК!U37)</f>
        <v>703.89931999999999</v>
      </c>
      <c r="W13" s="730">
        <f t="shared" ca="1" si="19"/>
        <v>5.0278522857142853</v>
      </c>
      <c r="X13" s="730">
        <f t="shared" ca="1" si="20"/>
        <v>703.899</v>
      </c>
      <c r="Y13" s="731">
        <f t="shared" ca="1" si="21"/>
        <v>-3.1999999998788553E-4</v>
      </c>
      <c r="Z13" s="731">
        <v>7</v>
      </c>
      <c r="AA13" s="732">
        <f t="shared" si="1"/>
        <v>7</v>
      </c>
      <c r="AB13" s="732">
        <f t="shared" ca="1" si="22"/>
        <v>18</v>
      </c>
      <c r="AC13" s="732"/>
      <c r="AD13" s="732"/>
      <c r="AE13" s="732"/>
      <c r="AF13" s="732"/>
      <c r="AG13" s="732"/>
      <c r="AH13" s="732"/>
      <c r="AI13" s="732"/>
      <c r="AJ13" s="731">
        <f t="shared" ca="1" si="2"/>
        <v>2.785228571428533E-2</v>
      </c>
      <c r="AK13" s="731"/>
      <c r="AL13" s="731"/>
      <c r="AN13" s="552" t="str">
        <f t="shared" si="3"/>
        <v>2_3.</v>
      </c>
      <c r="AO13" s="552" t="str">
        <f t="shared" si="6"/>
        <v>2_3</v>
      </c>
      <c r="AQ13" s="552" t="str">
        <f t="shared" si="4"/>
        <v>='[Техкарта 2019 20181218_v.xlsm]РГК'!F35+'[Техкарта 2019 20181218_v.xlsm]РГК'!F36+'[Техкарта 2019 20181218_v.xlsm]РГК'!F37</v>
      </c>
      <c r="AR13" s="552" t="str">
        <f t="shared" si="7"/>
        <v>=('[Техкарта 2019 20181218_v.xlsm]РГК'!U35+'[Техкарта 2019 20181218_v.xlsm]РГК'!U36+'[Техкарта 2019 20181218_v.xlsm]РГК'!U37)</v>
      </c>
      <c r="AT13" s="552" t="str">
        <f t="shared" si="8"/>
        <v>=('[Техкарта 2019 20181218_v.xlsm]РГК'!U35+'[Техкарта 2019 20181218_v.xlsm]РГК'!U36+'[Техкарта 2019 20181218_v.xlsm]РГК'!U37)</v>
      </c>
      <c r="AV13" s="552" t="str">
        <f t="shared" si="9"/>
        <v>'[Техкарта 2019 20181218_v.xlsm]РГК'!U35,'[Техкарта 2019 20181218_v.xlsm]РГК'!U36,'[Техкарта 2019 20181218_v.xlsm]РГК'!U37</v>
      </c>
      <c r="AY13" s="552" t="str">
        <f t="shared" si="10"/>
        <v>2019</v>
      </c>
      <c r="AZ13" s="552" t="str">
        <f t="shared" si="11"/>
        <v>=('[Техкарта 2084 20181218_v.xlsm]РГК'!U35+'[Техкарта 2084 20181218_v.xlsm]РГК'!U36+'[Техкарта 2084 20181218_v.xlsm]РГК'!U37)</v>
      </c>
    </row>
    <row r="14" spans="1:63" ht="28.15" customHeight="1">
      <c r="A14" s="723" t="s">
        <v>2586</v>
      </c>
      <c r="B14" s="726" t="s">
        <v>2587</v>
      </c>
      <c r="C14" s="726"/>
      <c r="D14" s="726"/>
      <c r="E14" s="726"/>
      <c r="F14" s="726"/>
      <c r="G14" s="723" t="s">
        <v>2577</v>
      </c>
      <c r="H14" s="727">
        <f>[14]РГК!F39+[14]РГК!F40+[14]РГК!F41+[14]РГК!F42+[14]РГК!F43+[14]РГК!F44+[14]РГК!F45+[14]РГК!F46+[14]РГК!F47+[14]РГК!F48+[14]РГК!F49+[14]РГК!F50</f>
        <v>140</v>
      </c>
      <c r="I14" s="728">
        <f t="shared" ca="1" si="12"/>
        <v>21.211178571428572</v>
      </c>
      <c r="J14" s="724">
        <f ca="1">BankersRound(([14]РГК!O39+[14]РГК!O40+[14]РГК!O41+[14]РГК!O42+[14]РГК!O43+[14]РГК!O44+[14]РГК!O45+[14]РГК!O46+[14]РГК!O47+[14]РГК!O48+[14]РГК!O49+[14]РГК!O50)*gККЗ,3)</f>
        <v>2969.5650000000001</v>
      </c>
      <c r="K14" s="725"/>
      <c r="L14" s="552" t="s">
        <v>3467</v>
      </c>
      <c r="M14" s="552">
        <f t="shared" ca="1" si="0"/>
        <v>2969.5657099999994</v>
      </c>
      <c r="N14" s="729">
        <f t="shared" ca="1" si="13"/>
        <v>21.21118364285714</v>
      </c>
      <c r="O14" s="729">
        <f t="shared" ca="1" si="5"/>
        <v>2969.5657099999999</v>
      </c>
      <c r="P14" s="729">
        <f t="shared" ca="1" si="14"/>
        <v>21.211175811655703</v>
      </c>
      <c r="Q14" s="730">
        <f ca="1">([14]РГК!O39+[14]РГК!O40+[14]РГК!O41+[14]РГК!O42+[14]РГК!O43+[14]РГК!O44+[14]РГК!O45+[14]РГК!O46+[14]РГК!O47+[14]РГК!O48+[14]РГК!O49+[14]РГК!O50)*gККЗ</f>
        <v>2969.5646136317987</v>
      </c>
      <c r="R14" s="730" t="str">
        <f t="shared" si="15"/>
        <v>('[Техкарта 2019 20181218_v.xlsm]РГК'!O39+'[Техкарта 2019 20181218_v.xlsm]РГК'!O40+'[Техкарта 2019 20181218_v.xlsm]РГК'!O41+'[Техкарта 2019 20181218_v.xlsm]РГК'!O42+'[Техкарта 2019 20181218_v.xlsm]РГК'!O43+'[Техкарта 2019 20181218_v.xlsm]РГК'!O44+'[Техкарта 2019 20181218_v.xlsm]РГК'!O45+'[Техкарта 2019 20181218_v.xlsm]РГК'!O46+'[Техкарта 2019 20181218_v.xlsm]РГК'!O47+'[Техкарта 2019 20181218_v.xlsm]РГК'!O48+'[Техкарта 2019 20181218_v.xlsm]РГК'!O49+'[Техкарта 2019 20181218_v.xlsm]РГК'!O50)*gККЗ</v>
      </c>
      <c r="S14" s="730">
        <f t="shared" ca="1" si="16"/>
        <v>2969.5646000000002</v>
      </c>
      <c r="T14" s="730">
        <f t="shared" ca="1" si="17"/>
        <v>2969.5650000000001</v>
      </c>
      <c r="U14" s="730">
        <f t="shared" ca="1" si="18"/>
        <v>-4.0000000000000002E-4</v>
      </c>
      <c r="V14" s="730">
        <f ca="1">([14]РГК!U39+[14]РГК!U40+[14]РГК!U41+[14]РГК!U42+[14]РГК!U43+[14]РГК!U44+[14]РГК!U45+[14]РГК!U46+[14]РГК!U47+[14]РГК!U48+[14]РГК!U49+[14]РГК!U50)</f>
        <v>2969.5657099999999</v>
      </c>
      <c r="W14" s="730">
        <f t="shared" ca="1" si="19"/>
        <v>21.21118364285714</v>
      </c>
      <c r="X14" s="730">
        <f t="shared" ca="1" si="20"/>
        <v>2969.5659999999998</v>
      </c>
      <c r="Y14" s="731">
        <f t="shared" ca="1" si="21"/>
        <v>2.8999999994994141E-4</v>
      </c>
      <c r="Z14" s="731">
        <v>7</v>
      </c>
      <c r="AA14" s="732">
        <f t="shared" si="1"/>
        <v>7</v>
      </c>
      <c r="AB14" s="732">
        <f t="shared" ca="1" si="22"/>
        <v>16</v>
      </c>
      <c r="AC14" s="732"/>
      <c r="AD14" s="732"/>
      <c r="AE14" s="732"/>
      <c r="AF14" s="732"/>
      <c r="AG14" s="732"/>
      <c r="AH14" s="732"/>
      <c r="AI14" s="732"/>
      <c r="AJ14" s="731">
        <f t="shared" ca="1" si="2"/>
        <v>0.21118364285714009</v>
      </c>
      <c r="AK14" s="731"/>
      <c r="AL14" s="731"/>
      <c r="AN14" s="552" t="str">
        <f t="shared" si="3"/>
        <v>2_4.</v>
      </c>
      <c r="AO14" s="552" t="str">
        <f t="shared" si="6"/>
        <v>2_4</v>
      </c>
      <c r="AQ14" s="552" t="str">
        <f t="shared" si="4"/>
        <v>='[Техкарта 2019 20181218_v.xlsm]РГК'!F39+'[Техкарта 2019 20181218_v.xlsm]РГК'!F40+'[Техкарта 2019 20181218_v.xlsm]РГК'!F41+'[Техкарта 2019 20181218_v.xlsm]РГК'!F42+'[Техкарта 2019 20181218_v.xlsm]РГК'!F43+'[Техкарта 2019 20181218_v.xlsm]РГК'!F44+'[Техкарта 2019 20181218_v.xlsm]РГК'!F45+'[Техкарта 2019 20181218_v.xlsm]РГК'!F46+'[Техкарта 2019 20181218_v.xlsm]РГК'!F47+'[Техкарта 2019 20181218_v.xlsm]РГК'!F48+'[Техкарта 2019 20181218_v.xlsm]РГК'!F49+'[Техкарта 2019 20181218_v.xlsm]РГК'!F50</v>
      </c>
      <c r="AR14" s="552" t="str">
        <f t="shared" si="7"/>
        <v>=('[Техкарта 2019 20181218_v.xlsm]РГК'!U39+'[Техкарта 2019 20181218_v.xlsm]РГК'!U40+'[Техкарта 2019 20181218_v.xlsm]РГК'!U41+'[Техкарта 2019 20181218_v.xlsm]РГК'!U42+'[Техкарта 2019 20181218_v.xlsm]РГК'!U43+'[Техкарта 2019 20181218_v.xlsm]РГК'!U44+'[Техкарта 2019 20181218_v.xlsm]РГК'!U45+'[Техкарта 2019 20181218_v.xlsm]РГК'!U46+'[Техкарта 2019 20181218_v.xlsm]РГК'!U47+'[Техкарта 2019 20181218_v.xlsm]РГК'!U48+'[Техкарта 2019 20181218_v.xlsm]РГК'!U49+'[Техкарта 2019 20181218_v.xlsm]РГК'!U50)</v>
      </c>
      <c r="AT14" s="552" t="str">
        <f t="shared" si="8"/>
        <v>=('[Техкарта 2019 20181218_v.xlsm]РГК'!U39+'[Техкарта 2019 20181218_v.xlsm]РГК'!U40+'[Техкарта 2019 20181218_v.xlsm]РГК'!U41+'[Техкарта 2019 20181218_v.xlsm]РГК'!U42+'[Техкарта 2019 20181218_v.xlsm]РГК'!U43+'[Техкарта 2019 20181218_v.xlsm]РГК'!U44+'[Техкарта 2019 20181218_v.xlsm]РГК'!U45+'[Техкарта 2019 20181218_v.xlsm]РГК'!U46+'[Техкарта 2019 20181218_v.xlsm]РГК'!U47+'[Техкарта 2019 20181218_v.xlsm]РГК'!U48+'[Техкарта 2019 20181218_v.xlsm]РГК'!U49+'[Техкарта 2019 20181218_v.xlsm]РГК'!U50)</v>
      </c>
      <c r="AV14" s="552" t="str">
        <f t="shared" si="9"/>
        <v>'[Техкарта 2019 20181218_v.xlsm]РГК'!U39,'[Техкарта 2019 20181218_v.xlsm]РГК'!U40,'[Техкарта 2019 20181218_v.xlsm]РГК'!U41,'[Техкарта 2019 20181218_v.xlsm]РГК'!U42,'[Техкарта 2019 20181218_v.xlsm]РГК'!U43,'[Техкарта 2019 20181218_v.xlsm]РГК'!U44,'[Техкарта 2019 20181218_v.xlsm]РГК'!U45,'[Техкарта 2019 20181218_v.xlsm]РГК'!U46,'[Техкарта 2019 20181218_v.xlsm]РГК'!U47,'[Техкарта 2019 20181218_v.xlsm]РГК'!U48,'[Техкарта 2019 20181218_v.xlsm]РГК'!U49,'[Техкарта 2019 20181218_v.xlsm]РГК'!U50</v>
      </c>
      <c r="AY14" s="552" t="str">
        <f t="shared" si="10"/>
        <v>2019</v>
      </c>
      <c r="AZ14" s="552" t="str">
        <f t="shared" si="11"/>
        <v>=('[Техкарта 2084 20181218_v.xlsm]РГК'!U39+'[Техкарта 2084 20181218_v.xlsm]РГК'!U40+'[Техкарта 2084 20181218_v.xlsm]РГК'!U41+'[Техкарта 2084 20181218_v.xlsm]РГК'!U42+'[Техкарта 2084 20181218_v.xlsm]РГК'!U43+'[Техкарта 2084 20181218_v.xlsm]РГК'!U44+'[Техкарта 2084 20181218_v.xlsm]РГК'!U45+'[Техкарта 2084 20181218_v.xlsm]РГК'!U46+'[Техкарта 2084 20181218_v.xlsm]РГК'!U47+'[Техкарта 2084 20181218_v.xlsm]РГК'!U48+'[Техкарта 2084 20181218_v.xlsm]РГК'!U49+'[Техкарта 2084 20181218_v.xlsm]РГК'!U50)</v>
      </c>
    </row>
    <row r="15" spans="1:63" ht="22.15" customHeight="1">
      <c r="A15" s="723" t="s">
        <v>2588</v>
      </c>
      <c r="B15" s="726" t="s">
        <v>2589</v>
      </c>
      <c r="C15" s="726"/>
      <c r="D15" s="726"/>
      <c r="E15" s="726"/>
      <c r="F15" s="726"/>
      <c r="G15" s="723" t="s">
        <v>2577</v>
      </c>
      <c r="H15" s="727">
        <f>[14]РГК!F52+[14]РГК!F53+[14]РГК!F54</f>
        <v>140</v>
      </c>
      <c r="I15" s="728">
        <f t="shared" ca="1" si="12"/>
        <v>5.2832785714285713</v>
      </c>
      <c r="J15" s="724">
        <f ca="1">BankersRound(([14]РГК!O52+[14]РГК!O53+[14]РГК!O54)*gККЗ,3)</f>
        <v>739.65899999999999</v>
      </c>
      <c r="K15" s="725"/>
      <c r="L15" s="552" t="s">
        <v>3468</v>
      </c>
      <c r="M15" s="552">
        <f t="shared" ca="1" si="0"/>
        <v>739.65919500000007</v>
      </c>
      <c r="N15" s="729">
        <f t="shared" ca="1" si="13"/>
        <v>5.2832799642857147</v>
      </c>
      <c r="O15" s="729">
        <f t="shared" ca="1" si="5"/>
        <v>739.65919500000007</v>
      </c>
      <c r="P15" s="729">
        <f t="shared" ca="1" si="14"/>
        <v>5.2832760381910591</v>
      </c>
      <c r="Q15" s="730">
        <f ca="1">([14]РГК!O52+[14]РГК!O53+[14]РГК!O54)*gККЗ</f>
        <v>739.65864534674824</v>
      </c>
      <c r="R15" s="730" t="str">
        <f t="shared" si="15"/>
        <v>('[Техкарта 2019 20181218_v.xlsm]РГК'!O52+'[Техкарта 2019 20181218_v.xlsm]РГК'!O53+'[Техкарта 2019 20181218_v.xlsm]РГК'!O54)*gККЗ</v>
      </c>
      <c r="S15" s="730">
        <f t="shared" ca="1" si="16"/>
        <v>739.65859999999998</v>
      </c>
      <c r="T15" s="730">
        <f t="shared" ca="1" si="17"/>
        <v>739.65899999999999</v>
      </c>
      <c r="U15" s="730">
        <f t="shared" ca="1" si="18"/>
        <v>-4.0000000000000002E-4</v>
      </c>
      <c r="V15" s="730">
        <f ca="1">([14]РГК!U52+[14]РГК!U53+[14]РГК!U54)</f>
        <v>739.65919500000007</v>
      </c>
      <c r="W15" s="730">
        <f t="shared" ca="1" si="19"/>
        <v>5.2832799642857147</v>
      </c>
      <c r="X15" s="730">
        <f t="shared" ca="1" si="20"/>
        <v>739.65899999999999</v>
      </c>
      <c r="Y15" s="731">
        <f t="shared" ca="1" si="21"/>
        <v>-1.9500000007610652E-4</v>
      </c>
      <c r="Z15" s="731">
        <v>7</v>
      </c>
      <c r="AA15" s="732">
        <f t="shared" si="1"/>
        <v>7</v>
      </c>
      <c r="AB15" s="732">
        <f t="shared" ca="1" si="22"/>
        <v>17</v>
      </c>
      <c r="AC15" s="732"/>
      <c r="AD15" s="732"/>
      <c r="AE15" s="732"/>
      <c r="AF15" s="732"/>
      <c r="AG15" s="732"/>
      <c r="AH15" s="732"/>
      <c r="AI15" s="732"/>
      <c r="AJ15" s="731">
        <f t="shared" ca="1" si="2"/>
        <v>0.28327996428571467</v>
      </c>
      <c r="AK15" s="731"/>
      <c r="AL15" s="731"/>
      <c r="AN15" s="552" t="str">
        <f t="shared" si="3"/>
        <v>2_5.</v>
      </c>
      <c r="AO15" s="552" t="str">
        <f t="shared" si="6"/>
        <v>2_5</v>
      </c>
      <c r="AQ15" s="552" t="str">
        <f t="shared" si="4"/>
        <v>='[Техкарта 2019 20181218_v.xlsm]РГК'!F52+'[Техкарта 2019 20181218_v.xlsm]РГК'!F53+'[Техкарта 2019 20181218_v.xlsm]РГК'!F54</v>
      </c>
      <c r="AR15" s="552" t="str">
        <f t="shared" si="7"/>
        <v>=('[Техкарта 2019 20181218_v.xlsm]РГК'!U52+'[Техкарта 2019 20181218_v.xlsm]РГК'!U53+'[Техкарта 2019 20181218_v.xlsm]РГК'!U54)</v>
      </c>
      <c r="AT15" s="552" t="str">
        <f t="shared" si="8"/>
        <v>=('[Техкарта 2019 20181218_v.xlsm]РГК'!U52+'[Техкарта 2019 20181218_v.xlsm]РГК'!U53+'[Техкарта 2019 20181218_v.xlsm]РГК'!U54)</v>
      </c>
      <c r="AV15" s="552" t="str">
        <f t="shared" si="9"/>
        <v>'[Техкарта 2019 20181218_v.xlsm]РГК'!U52,'[Техкарта 2019 20181218_v.xlsm]РГК'!U53,'[Техкарта 2019 20181218_v.xlsm]РГК'!U54</v>
      </c>
      <c r="AY15" s="552" t="str">
        <f t="shared" si="10"/>
        <v>2019</v>
      </c>
      <c r="AZ15" s="552" t="str">
        <f t="shared" si="11"/>
        <v>=('[Техкарта 2084 20181218_v.xlsm]РГК'!U52+'[Техкарта 2084 20181218_v.xlsm]РГК'!U53+'[Техкарта 2084 20181218_v.xlsm]РГК'!U54)</v>
      </c>
    </row>
    <row r="16" spans="1:63" ht="19.149999999999999" customHeight="1">
      <c r="A16" s="723" t="s">
        <v>2590</v>
      </c>
      <c r="B16" s="726" t="s">
        <v>2591</v>
      </c>
      <c r="C16" s="726"/>
      <c r="D16" s="726"/>
      <c r="E16" s="726"/>
      <c r="F16" s="726"/>
      <c r="G16" s="723" t="s">
        <v>2577</v>
      </c>
      <c r="H16" s="727">
        <f>[14]РГК!F56+[14]РГК!F57+[14]РГК!F58</f>
        <v>36</v>
      </c>
      <c r="I16" s="728">
        <f t="shared" ca="1" si="12"/>
        <v>51.440777777777775</v>
      </c>
      <c r="J16" s="724">
        <f ca="1">BankersRound(([14]РГК!O56+[14]РГК!O57+[14]РГК!O58)*gККЗ,3)</f>
        <v>1851.8679999999999</v>
      </c>
      <c r="K16" s="725"/>
      <c r="L16" s="552" t="s">
        <v>3469</v>
      </c>
      <c r="M16" s="552">
        <f t="shared" ca="1" si="0"/>
        <v>1851.867765</v>
      </c>
      <c r="N16" s="729">
        <f t="shared" ca="1" si="13"/>
        <v>51.440771249999997</v>
      </c>
      <c r="O16" s="729">
        <f ca="1">V16</f>
        <v>1851.867765</v>
      </c>
      <c r="P16" s="729">
        <f t="shared" ca="1" si="14"/>
        <v>51.440770941438103</v>
      </c>
      <c r="Q16" s="730">
        <f ca="1">([14]РГК!O56+[14]РГК!O57+[14]РГК!O58)*gККЗ</f>
        <v>1851.8677538917716</v>
      </c>
      <c r="R16" s="730" t="str">
        <f t="shared" si="15"/>
        <v>('[Техкарта 2019 20181218_v.xlsm]РГК'!O56+'[Техкарта 2019 20181218_v.xlsm]РГК'!O57+'[Техкарта 2019 20181218_v.xlsm]РГК'!O58)*gККЗ</v>
      </c>
      <c r="S16" s="730">
        <f t="shared" ca="1" si="16"/>
        <v>1851.8678</v>
      </c>
      <c r="T16" s="730">
        <f t="shared" ca="1" si="17"/>
        <v>1851.8679999999999</v>
      </c>
      <c r="U16" s="730">
        <f t="shared" ca="1" si="18"/>
        <v>-2.0000000000000001E-4</v>
      </c>
      <c r="V16" s="730">
        <f ca="1">([14]РГК!U56+[14]РГК!U57+[14]РГК!U58)</f>
        <v>1851.867765</v>
      </c>
      <c r="W16" s="730">
        <f t="shared" ca="1" si="19"/>
        <v>51.440771249999997</v>
      </c>
      <c r="X16" s="730">
        <f t="shared" ca="1" si="20"/>
        <v>1851.8679999999999</v>
      </c>
      <c r="Y16" s="731">
        <f t="shared" ca="1" si="21"/>
        <v>2.3499999997511622E-4</v>
      </c>
      <c r="Z16" s="731">
        <v>6</v>
      </c>
      <c r="AA16" s="732">
        <f t="shared" si="1"/>
        <v>6</v>
      </c>
      <c r="AB16" s="732">
        <f t="shared" ca="1" si="22"/>
        <v>17</v>
      </c>
      <c r="AC16" s="732"/>
      <c r="AD16" s="732"/>
      <c r="AE16" s="732"/>
      <c r="AF16" s="732"/>
      <c r="AG16" s="732"/>
      <c r="AH16" s="732"/>
      <c r="AI16" s="732"/>
      <c r="AJ16" s="731">
        <f t="shared" ca="1" si="2"/>
        <v>0.44077124999999739</v>
      </c>
      <c r="AK16" s="731"/>
      <c r="AL16" s="731"/>
      <c r="AN16" s="552" t="str">
        <f t="shared" si="3"/>
        <v>2_6.</v>
      </c>
      <c r="AO16" s="552" t="str">
        <f t="shared" si="6"/>
        <v>2_6</v>
      </c>
      <c r="AQ16" s="552" t="str">
        <f t="shared" si="4"/>
        <v>='[Техкарта 2019 20181218_v.xlsm]РГК'!F56+'[Техкарта 2019 20181218_v.xlsm]РГК'!F57+'[Техкарта 2019 20181218_v.xlsm]РГК'!F58</v>
      </c>
      <c r="AR16" s="552" t="str">
        <f t="shared" si="7"/>
        <v>=('[Техкарта 2019 20181218_v.xlsm]РГК'!U56+'[Техкарта 2019 20181218_v.xlsm]РГК'!U57+'[Техкарта 2019 20181218_v.xlsm]РГК'!U58)</v>
      </c>
      <c r="AT16" s="552" t="str">
        <f t="shared" si="8"/>
        <v>=('[Техкарта 2019 20181218_v.xlsm]РГК'!U56+'[Техкарта 2019 20181218_v.xlsm]РГК'!U57+'[Техкарта 2019 20181218_v.xlsm]РГК'!U58)</v>
      </c>
      <c r="AV16" s="552" t="str">
        <f t="shared" si="9"/>
        <v>'[Техкарта 2019 20181218_v.xlsm]РГК'!U56,'[Техкарта 2019 20181218_v.xlsm]РГК'!U57,'[Техкарта 2019 20181218_v.xlsm]РГК'!U58</v>
      </c>
      <c r="AY16" s="552" t="str">
        <f t="shared" si="10"/>
        <v>2019</v>
      </c>
      <c r="AZ16" s="552" t="str">
        <f t="shared" si="11"/>
        <v>=('[Техкарта 2084 20181218_v.xlsm]РГК'!U56+'[Техкарта 2084 20181218_v.xlsm]РГК'!U57+'[Техкарта 2084 20181218_v.xlsm]РГК'!U58)</v>
      </c>
    </row>
    <row r="17" spans="1:56" ht="25.5" customHeight="1">
      <c r="A17" s="739" t="s">
        <v>2592</v>
      </c>
      <c r="B17" s="740"/>
      <c r="C17" s="740"/>
      <c r="D17" s="740"/>
      <c r="E17" s="740"/>
      <c r="F17" s="740"/>
      <c r="G17" s="740"/>
      <c r="H17" s="740"/>
      <c r="I17" s="741">
        <f ca="1">BankersRound(J17/H11,3)</f>
        <v>74.477999999999994</v>
      </c>
      <c r="J17" s="742">
        <f ca="1">BankersRound(J10+J5,3)</f>
        <v>10426.898999999999</v>
      </c>
      <c r="K17" s="743"/>
      <c r="N17" s="729">
        <f ca="1">O17/H15</f>
        <v>74.477849999999989</v>
      </c>
      <c r="O17" s="744">
        <f ca="1">Q19</f>
        <v>10426.898999999999</v>
      </c>
      <c r="Q17" s="730">
        <f ca="1">Q6+Q7+Q8+Q9+Q11+Q12+Q13+Q14+Q15+Q16</f>
        <v>10426.898204843988</v>
      </c>
      <c r="R17" s="730"/>
      <c r="S17" s="730"/>
      <c r="T17" s="730"/>
      <c r="U17" s="730">
        <f ca="1">SUM(U11:U16)</f>
        <v>-6.0000000000000006E-4</v>
      </c>
      <c r="V17" s="730">
        <f ca="1">V6+V7+V8+V9+V11+V12+V13+V14+V15+V16</f>
        <v>10426.899164999999</v>
      </c>
      <c r="W17" s="730">
        <f ca="1">X17/H11</f>
        <v>74.477842857142861</v>
      </c>
      <c r="X17" s="730">
        <f ca="1">X6+X7+X8+X9+X11+X12+X13+X14+X15+X16</f>
        <v>10426.898000000001</v>
      </c>
      <c r="Y17" s="744"/>
      <c r="Z17" s="744"/>
      <c r="AA17" s="744"/>
      <c r="AB17" s="744"/>
      <c r="AC17" s="744"/>
      <c r="AD17" s="744"/>
      <c r="AE17" s="744"/>
      <c r="AF17" s="744"/>
      <c r="AG17" s="744"/>
      <c r="AH17" s="744"/>
      <c r="AI17" s="744"/>
      <c r="AJ17" s="744"/>
      <c r="AK17" s="744"/>
      <c r="AL17" s="744"/>
    </row>
    <row r="18" spans="1:56">
      <c r="A18" s="739" t="s">
        <v>1634</v>
      </c>
      <c r="B18" s="740"/>
      <c r="C18" s="740"/>
      <c r="D18" s="740"/>
      <c r="E18" s="740"/>
      <c r="F18" s="740"/>
      <c r="G18" s="740"/>
      <c r="H18" s="740"/>
      <c r="I18" s="745"/>
      <c r="J18" s="742">
        <v>0</v>
      </c>
      <c r="K18" s="746"/>
      <c r="Q18" s="731">
        <f ca="1">[14]РГК!O66*gККЗ</f>
        <v>10426.898204843987</v>
      </c>
      <c r="R18" s="731"/>
      <c r="S18" s="731"/>
      <c r="T18" s="731"/>
      <c r="U18" s="731"/>
      <c r="V18" s="747">
        <f ca="1">[14]РГК!U63</f>
        <v>10426.899165000001</v>
      </c>
      <c r="W18" s="747"/>
      <c r="X18" s="748">
        <f ca="1">[14]РГК!U63</f>
        <v>10426.899165000001</v>
      </c>
      <c r="Y18" s="744"/>
      <c r="Z18" s="744"/>
      <c r="AA18" s="744"/>
      <c r="AB18" s="744"/>
      <c r="AC18" s="744"/>
      <c r="AD18" s="744"/>
      <c r="AE18" s="744"/>
      <c r="AF18" s="744"/>
      <c r="AG18" s="744"/>
      <c r="AH18" s="744"/>
      <c r="AI18" s="744"/>
      <c r="AJ18" s="744"/>
      <c r="AK18" s="744"/>
      <c r="AL18" s="744"/>
      <c r="AS18" s="552">
        <f ca="1">([14]РГК!O60+[14]РГК!O61+[14]РГК!O62+[14]РГК!O62)*1.215</f>
        <v>1778.7600000000002</v>
      </c>
      <c r="AT18" s="552">
        <f ca="1">[14]РГК!O23*1.215</f>
        <v>231.54485950413223</v>
      </c>
      <c r="AU18" s="552" t="e">
        <f>([14]РГК!#REF!+[14]РГК!#REF!+[14]РГК!#REF!)*1.215</f>
        <v>#REF!</v>
      </c>
    </row>
    <row r="19" spans="1:56">
      <c r="A19" s="739" t="s">
        <v>2593</v>
      </c>
      <c r="B19" s="740"/>
      <c r="C19" s="740"/>
      <c r="D19" s="740"/>
      <c r="E19" s="740"/>
      <c r="F19" s="740"/>
      <c r="G19" s="740"/>
      <c r="H19" s="740"/>
      <c r="I19" s="745"/>
      <c r="J19" s="742">
        <f ca="1">J17+J18</f>
        <v>10426.898999999999</v>
      </c>
      <c r="K19" s="746"/>
      <c r="O19" s="552">
        <v>103605.16</v>
      </c>
      <c r="Q19" s="744">
        <f ca="1">J19</f>
        <v>10426.898999999999</v>
      </c>
      <c r="R19" s="744"/>
      <c r="S19" s="744"/>
      <c r="T19" s="744"/>
      <c r="U19" s="744"/>
      <c r="V19" s="748">
        <f ca="1">J19</f>
        <v>10426.898999999999</v>
      </c>
      <c r="W19" s="748">
        <f>P19</f>
        <v>0</v>
      </c>
      <c r="X19" s="748">
        <f ca="1">Q19</f>
        <v>10426.898999999999</v>
      </c>
      <c r="Y19" s="744"/>
      <c r="Z19" s="744"/>
      <c r="AA19" s="744"/>
      <c r="AB19" s="744"/>
      <c r="AC19" s="744"/>
      <c r="AD19" s="744"/>
      <c r="AE19" s="744"/>
      <c r="AF19" s="744"/>
      <c r="AG19" s="744"/>
      <c r="AH19" s="744"/>
      <c r="AI19" s="744"/>
      <c r="AJ19" s="744"/>
      <c r="AK19" s="744"/>
      <c r="AL19" s="744"/>
    </row>
    <row r="20" spans="1:56" ht="25.9" customHeight="1">
      <c r="A20" s="749" t="s">
        <v>2594</v>
      </c>
      <c r="B20" s="750" t="s">
        <v>2595</v>
      </c>
      <c r="C20" s="750"/>
      <c r="D20" s="750"/>
      <c r="E20" s="750"/>
      <c r="F20" s="750"/>
      <c r="G20" s="751"/>
      <c r="H20" s="749"/>
      <c r="I20" s="752"/>
      <c r="J20" s="727" t="s">
        <v>410</v>
      </c>
      <c r="K20" s="753"/>
      <c r="Q20" s="731">
        <f ca="1">Q17-Q18</f>
        <v>0</v>
      </c>
      <c r="R20" s="731"/>
      <c r="S20" s="731"/>
      <c r="T20" s="731"/>
      <c r="U20" s="731"/>
      <c r="V20" s="731">
        <f ca="1">V17-V18</f>
        <v>0</v>
      </c>
      <c r="W20" s="747">
        <f ca="1">W17-W18</f>
        <v>74.477842857142861</v>
      </c>
      <c r="X20" s="747">
        <f ca="1">X17-X18</f>
        <v>-1.164999999673455E-3</v>
      </c>
      <c r="AM20" s="552" t="e">
        <f>getNamedRangeByAddress(Z22)</f>
        <v>#VALUE!</v>
      </c>
      <c r="AQ20" s="552" t="e">
        <f>Intersect_Name(Z22)</f>
        <v>#VALUE!</v>
      </c>
      <c r="AU20" s="754" t="e">
        <f>[14]РГК!#REF!*1.215</f>
        <v>#REF!</v>
      </c>
    </row>
    <row r="21" spans="1:56">
      <c r="A21" s="755" t="s">
        <v>2596</v>
      </c>
      <c r="B21" s="756"/>
      <c r="C21" s="756"/>
      <c r="D21" s="756"/>
      <c r="E21" s="756"/>
      <c r="F21" s="756"/>
      <c r="G21" s="756"/>
      <c r="H21" s="756"/>
      <c r="I21" s="757"/>
      <c r="J21" s="757" t="s">
        <v>410</v>
      </c>
      <c r="K21" s="758"/>
      <c r="Q21" s="731">
        <f ca="1">Q18-Q19</f>
        <v>-7.9515601282764692E-4</v>
      </c>
      <c r="R21" s="731"/>
      <c r="S21" s="731"/>
      <c r="T21" s="731"/>
      <c r="U21" s="731"/>
      <c r="V21" s="731">
        <f ca="1">V18-V19</f>
        <v>1.6500000128871761E-4</v>
      </c>
      <c r="W21" s="731">
        <f>W18-W19</f>
        <v>0</v>
      </c>
      <c r="X21" s="731">
        <f ca="1">X17-X19</f>
        <v>-9.9999999838473741E-4</v>
      </c>
      <c r="AM21" s="552" t="str">
        <f>CellParentName()</f>
        <v>РГК_кошторис (2)</v>
      </c>
      <c r="AS21" s="552" t="e">
        <f>([14]РГК!#REF!+[14]РГК!#REF!+[14]РГК!#REF!)*1.215</f>
        <v>#REF!</v>
      </c>
      <c r="AU21" s="754" t="e">
        <f>[14]РГК!#REF!*1.215</f>
        <v>#REF!</v>
      </c>
    </row>
    <row r="22" spans="1:56">
      <c r="A22" s="755" t="s">
        <v>1634</v>
      </c>
      <c r="B22" s="756"/>
      <c r="C22" s="756"/>
      <c r="D22" s="756"/>
      <c r="E22" s="756"/>
      <c r="F22" s="756"/>
      <c r="G22" s="756"/>
      <c r="H22" s="756"/>
      <c r="I22" s="757"/>
      <c r="J22" s="757" t="s">
        <v>410</v>
      </c>
      <c r="K22" s="758"/>
      <c r="L22" s="719" t="str">
        <f t="shared" ref="L22:L23" si="23">A22</f>
        <v>ПДВ</v>
      </c>
      <c r="M22" s="758"/>
      <c r="N22" s="758"/>
      <c r="O22" s="758"/>
      <c r="P22" s="758"/>
      <c r="Q22" s="758"/>
      <c r="R22" s="758"/>
      <c r="S22" s="758"/>
      <c r="Z22" s="552" t="s">
        <v>3470</v>
      </c>
      <c r="BD22" s="754" t="e">
        <f>[14]РГК!#REF!*1.215</f>
        <v>#REF!</v>
      </c>
    </row>
    <row r="23" spans="1:56">
      <c r="A23" s="755" t="s">
        <v>2597</v>
      </c>
      <c r="B23" s="756"/>
      <c r="C23" s="756"/>
      <c r="D23" s="756"/>
      <c r="E23" s="756"/>
      <c r="F23" s="756"/>
      <c r="G23" s="756"/>
      <c r="H23" s="756"/>
      <c r="I23" s="757"/>
      <c r="J23" s="757" t="s">
        <v>410</v>
      </c>
      <c r="K23" s="758"/>
      <c r="L23" s="719" t="str">
        <f t="shared" si="23"/>
        <v>Всього з ПДВ трелювання</v>
      </c>
      <c r="M23" s="758"/>
      <c r="N23" s="758"/>
      <c r="O23" s="758"/>
      <c r="P23" s="758"/>
      <c r="Q23" s="758"/>
      <c r="R23" s="758"/>
      <c r="S23" s="758"/>
      <c r="Z23" s="552" t="str">
        <f>CellAddress()</f>
        <v>$Z$23</v>
      </c>
      <c r="AH23" s="759"/>
      <c r="AI23" s="759"/>
      <c r="AJ23" s="759"/>
      <c r="AK23" s="759"/>
      <c r="AL23" s="759"/>
      <c r="AM23" s="759"/>
      <c r="AN23" s="759"/>
      <c r="AO23" s="759"/>
      <c r="AP23" s="759"/>
      <c r="AQ23" s="759"/>
      <c r="AR23" s="759"/>
      <c r="AS23" s="759"/>
      <c r="AT23" s="759"/>
      <c r="AU23" s="759"/>
      <c r="BD23" s="754">
        <f>([14]РГК!AA74+[14]РГК!AA75+[14]РГК!AA76)*1.215</f>
        <v>0</v>
      </c>
    </row>
    <row r="24" spans="1:56">
      <c r="AH24" s="759"/>
      <c r="AI24" s="759"/>
      <c r="AJ24" s="759"/>
      <c r="AK24" s="759"/>
      <c r="AL24" s="759"/>
      <c r="AM24" s="759"/>
      <c r="AN24" s="759"/>
      <c r="AO24" s="759"/>
      <c r="AP24" s="759"/>
      <c r="AQ24" s="759"/>
      <c r="AR24" s="759"/>
      <c r="AS24" s="759"/>
      <c r="AT24" s="759"/>
      <c r="AU24" s="759"/>
    </row>
    <row r="25" spans="1:56">
      <c r="Z25" s="721"/>
      <c r="AA25" s="759"/>
      <c r="AB25" s="759"/>
      <c r="AC25" s="759"/>
      <c r="AD25" s="759"/>
      <c r="AE25" s="759"/>
      <c r="AF25" s="759"/>
      <c r="AG25" s="759"/>
      <c r="AH25" s="759"/>
      <c r="AI25" s="759"/>
      <c r="AJ25" s="759"/>
      <c r="AK25" s="759"/>
      <c r="AL25" s="759"/>
      <c r="AM25" s="759"/>
      <c r="AN25" s="759"/>
      <c r="AO25" s="759"/>
      <c r="AP25" s="759"/>
      <c r="AQ25" s="759"/>
      <c r="AR25" s="759"/>
      <c r="AS25" s="759"/>
      <c r="AT25" s="759"/>
      <c r="AU25" s="759"/>
    </row>
    <row r="26" spans="1:56" ht="15.75">
      <c r="A26" s="628" t="s">
        <v>2598</v>
      </c>
      <c r="B26" s="628"/>
      <c r="C26" s="628"/>
      <c r="D26" s="628"/>
      <c r="E26" s="628"/>
      <c r="F26" s="628"/>
      <c r="G26" s="628"/>
      <c r="H26" s="628"/>
      <c r="Z26" s="721"/>
      <c r="AA26" s="759"/>
      <c r="AB26" s="759"/>
      <c r="AC26" s="759"/>
      <c r="AD26" s="759"/>
      <c r="AE26" s="759"/>
      <c r="AF26" s="759"/>
      <c r="AG26" s="759"/>
      <c r="AH26" s="759"/>
      <c r="AI26" s="759"/>
      <c r="AJ26" s="759"/>
      <c r="AK26" s="759"/>
      <c r="AL26" s="759"/>
      <c r="AM26" s="759"/>
      <c r="AN26" s="759"/>
      <c r="AO26" s="759"/>
      <c r="AP26" s="759"/>
      <c r="AQ26" s="759"/>
      <c r="AR26" s="759"/>
      <c r="AS26" s="759"/>
      <c r="AT26" s="759"/>
      <c r="AU26" s="759"/>
    </row>
    <row r="27" spans="1:56">
      <c r="A27" s="624" t="s">
        <v>2599</v>
      </c>
      <c r="B27" s="624"/>
      <c r="C27" s="624"/>
      <c r="D27" s="624"/>
      <c r="E27" s="624"/>
      <c r="F27" s="624"/>
      <c r="G27" s="624"/>
      <c r="H27" s="624"/>
      <c r="Z27" s="721"/>
      <c r="AA27" s="759"/>
      <c r="AB27" s="759"/>
      <c r="AC27" s="759"/>
      <c r="AD27" s="759"/>
      <c r="AE27" s="759"/>
      <c r="AF27" s="759"/>
      <c r="AG27" s="759"/>
    </row>
    <row r="28" spans="1:56">
      <c r="A28" s="629"/>
      <c r="B28" s="629"/>
      <c r="C28" s="629"/>
      <c r="D28" s="629"/>
      <c r="E28" s="629"/>
      <c r="F28" s="629"/>
      <c r="G28" s="629"/>
      <c r="H28" s="629"/>
      <c r="Z28" s="721"/>
      <c r="AA28" s="759"/>
      <c r="AB28" s="759"/>
      <c r="AC28" s="759"/>
      <c r="AD28" s="759"/>
      <c r="AE28" s="759"/>
      <c r="AF28" s="759"/>
      <c r="AG28" s="759"/>
    </row>
    <row r="29" spans="1:56">
      <c r="A29" s="629" t="s">
        <v>10</v>
      </c>
      <c r="B29" s="626"/>
      <c r="C29" s="626"/>
      <c r="D29" s="626"/>
      <c r="E29" s="630"/>
      <c r="F29" s="630"/>
      <c r="G29" s="630"/>
      <c r="H29" s="630"/>
    </row>
    <row r="30" spans="1:56">
      <c r="A30" s="629" t="s">
        <v>2600</v>
      </c>
      <c r="B30" s="629"/>
      <c r="C30" s="630">
        <v>0</v>
      </c>
      <c r="D30" s="630"/>
      <c r="E30" s="631"/>
      <c r="F30" s="631"/>
      <c r="G30" s="562"/>
      <c r="H30" s="630"/>
    </row>
    <row r="31" spans="1:56">
      <c r="A31" s="629" t="s">
        <v>2601</v>
      </c>
      <c r="B31" s="629"/>
      <c r="C31" s="629"/>
      <c r="D31" s="629"/>
      <c r="E31" s="562"/>
      <c r="F31" s="630"/>
      <c r="G31" s="630"/>
      <c r="H31" s="564"/>
    </row>
    <row r="32" spans="1:56">
      <c r="A32" s="629"/>
      <c r="B32" s="629"/>
      <c r="C32" s="629"/>
      <c r="D32" s="629"/>
      <c r="E32" s="629"/>
      <c r="F32" s="629"/>
      <c r="G32" s="629"/>
      <c r="H32" s="629"/>
    </row>
    <row r="33" spans="1:22" ht="38.25">
      <c r="A33" s="632" t="s">
        <v>2562</v>
      </c>
      <c r="B33" s="632" t="s">
        <v>2602</v>
      </c>
      <c r="C33" s="632"/>
      <c r="D33" s="632"/>
      <c r="E33" s="632" t="s">
        <v>2563</v>
      </c>
      <c r="F33" s="632" t="s">
        <v>1326</v>
      </c>
      <c r="G33" s="632" t="s">
        <v>2564</v>
      </c>
      <c r="H33" s="632" t="s">
        <v>2565</v>
      </c>
    </row>
    <row r="34" spans="1:22" ht="32.450000000000003" customHeight="1">
      <c r="A34" s="602" t="s">
        <v>2566</v>
      </c>
      <c r="B34" s="760" t="s">
        <v>2567</v>
      </c>
      <c r="C34" s="760"/>
      <c r="D34" s="760"/>
      <c r="E34" s="761" t="s">
        <v>2577</v>
      </c>
      <c r="F34" s="762">
        <f>H11</f>
        <v>140</v>
      </c>
      <c r="G34" s="763">
        <f ca="1">+(H34+H35)/F34</f>
        <v>74.477850000000004</v>
      </c>
      <c r="H34" s="764">
        <f ca="1">J5</f>
        <v>2843.0410000000002</v>
      </c>
    </row>
    <row r="35" spans="1:22" ht="25.5">
      <c r="A35" s="633" t="s">
        <v>2578</v>
      </c>
      <c r="B35" s="634" t="s">
        <v>2579</v>
      </c>
      <c r="C35" s="634"/>
      <c r="D35" s="634"/>
      <c r="E35" s="765"/>
      <c r="F35" s="765"/>
      <c r="G35" s="576"/>
      <c r="H35" s="764">
        <f ca="1">J10</f>
        <v>7583.8580000000002</v>
      </c>
    </row>
    <row r="36" spans="1:22" ht="81">
      <c r="A36" s="635" t="s">
        <v>2592</v>
      </c>
      <c r="B36" s="636"/>
      <c r="C36" s="636"/>
      <c r="D36" s="636"/>
      <c r="E36" s="636"/>
      <c r="F36" s="636"/>
      <c r="G36" s="567">
        <f ca="1">+H36/F34</f>
        <v>74.477850000000004</v>
      </c>
      <c r="H36" s="766">
        <f ca="1">+H34+H35</f>
        <v>10426.899000000001</v>
      </c>
    </row>
    <row r="37" spans="1:22">
      <c r="A37" s="635" t="s">
        <v>1634</v>
      </c>
      <c r="B37" s="636"/>
      <c r="C37" s="636"/>
      <c r="D37" s="636"/>
      <c r="E37" s="636"/>
      <c r="F37" s="636"/>
      <c r="G37" s="567"/>
      <c r="H37" s="567"/>
    </row>
    <row r="38" spans="1:22" ht="81">
      <c r="A38" s="635" t="s">
        <v>2593</v>
      </c>
      <c r="B38" s="636"/>
      <c r="C38" s="636"/>
      <c r="D38" s="636"/>
      <c r="E38" s="636"/>
      <c r="F38" s="636"/>
      <c r="G38" s="567">
        <f ca="1">+G37+G36</f>
        <v>74.477850000000004</v>
      </c>
      <c r="H38" s="766">
        <f ca="1">+H37+H36</f>
        <v>10426.899000000001</v>
      </c>
    </row>
    <row r="39" spans="1:22" ht="31.15" customHeight="1">
      <c r="A39" s="633" t="s">
        <v>2594</v>
      </c>
      <c r="B39" s="634" t="s">
        <v>2603</v>
      </c>
      <c r="C39" s="634"/>
      <c r="D39" s="634"/>
      <c r="E39" s="568" t="s">
        <v>2577</v>
      </c>
      <c r="F39" s="568"/>
      <c r="G39" s="566">
        <v>0</v>
      </c>
      <c r="H39" s="566">
        <v>0</v>
      </c>
    </row>
    <row r="40" spans="1:22" ht="54">
      <c r="A40" s="635" t="s">
        <v>2596</v>
      </c>
      <c r="B40" s="636"/>
      <c r="C40" s="636"/>
      <c r="D40" s="636"/>
      <c r="E40" s="636"/>
      <c r="F40" s="636"/>
      <c r="G40" s="567"/>
      <c r="H40" s="567">
        <f>+H39</f>
        <v>0</v>
      </c>
    </row>
    <row r="41" spans="1:22">
      <c r="A41" s="635" t="s">
        <v>1634</v>
      </c>
      <c r="B41" s="636"/>
      <c r="C41" s="636"/>
      <c r="D41" s="636"/>
      <c r="E41" s="636"/>
      <c r="F41" s="636"/>
      <c r="G41" s="567"/>
      <c r="H41" s="567"/>
    </row>
    <row r="42" spans="1:22" ht="54">
      <c r="A42" s="635" t="s">
        <v>2597</v>
      </c>
      <c r="B42" s="636"/>
      <c r="C42" s="636"/>
      <c r="D42" s="636"/>
      <c r="E42" s="636"/>
      <c r="F42" s="636"/>
      <c r="G42" s="567">
        <f>+G41+G40</f>
        <v>0</v>
      </c>
      <c r="H42" s="567">
        <f>+H41+H40</f>
        <v>0</v>
      </c>
    </row>
    <row r="45" spans="1:22" ht="15.75">
      <c r="A45" s="628" t="s">
        <v>2604</v>
      </c>
      <c r="B45" s="628"/>
      <c r="C45" s="628"/>
      <c r="D45" s="628"/>
      <c r="E45" s="628"/>
      <c r="F45" s="628"/>
      <c r="G45" s="628"/>
      <c r="H45" s="628"/>
    </row>
    <row r="46" spans="1:22">
      <c r="A46" s="624"/>
      <c r="B46" s="624"/>
      <c r="C46" s="624"/>
      <c r="D46" s="624"/>
      <c r="E46" s="624"/>
      <c r="F46" s="624"/>
      <c r="G46" s="624"/>
      <c r="H46" s="624"/>
    </row>
    <row r="47" spans="1:22">
      <c r="A47" s="625" t="s">
        <v>2605</v>
      </c>
      <c r="B47" s="626"/>
      <c r="C47" s="626"/>
      <c r="D47" s="626"/>
      <c r="E47" s="626"/>
      <c r="F47" s="626"/>
      <c r="G47" s="626"/>
      <c r="H47" s="626"/>
      <c r="S47" s="552" t="s">
        <v>3471</v>
      </c>
    </row>
    <row r="48" spans="1:22" ht="15" customHeight="1">
      <c r="A48" s="717" t="s">
        <v>3447</v>
      </c>
      <c r="B48" s="632" t="s">
        <v>2602</v>
      </c>
      <c r="C48" s="632"/>
      <c r="D48" s="632"/>
      <c r="E48" s="767"/>
      <c r="F48" s="767"/>
      <c r="G48" s="768" t="s">
        <v>3472</v>
      </c>
      <c r="H48" s="768" t="s">
        <v>3473</v>
      </c>
      <c r="S48" s="552" t="s">
        <v>3447</v>
      </c>
      <c r="T48" s="552" t="s">
        <v>2602</v>
      </c>
      <c r="U48" s="552" t="s">
        <v>3472</v>
      </c>
      <c r="V48" s="552" t="s">
        <v>3473</v>
      </c>
    </row>
    <row r="49" spans="1:22">
      <c r="A49" s="769" t="s">
        <v>2566</v>
      </c>
      <c r="B49" s="770" t="s">
        <v>2567</v>
      </c>
      <c r="C49" s="627"/>
      <c r="D49" s="627"/>
      <c r="E49" s="627"/>
      <c r="F49" s="627"/>
      <c r="G49" s="767"/>
      <c r="J49" s="552">
        <f t="shared" ref="J49:J61" si="24">LEN(REGPLACE(A49,"\d",""))</f>
        <v>1</v>
      </c>
      <c r="S49" s="552" t="str">
        <f t="shared" ref="S49:T61" si="25">A49</f>
        <v>1.</v>
      </c>
      <c r="T49" s="552" t="str">
        <f t="shared" si="25"/>
        <v>Підготовчі роботи та допоміжні роботи на лісосіці.</v>
      </c>
      <c r="V49" s="771">
        <f t="shared" ref="V49:V61" si="26">H49</f>
        <v>0</v>
      </c>
    </row>
    <row r="50" spans="1:22">
      <c r="A50" s="772" t="s">
        <v>2568</v>
      </c>
      <c r="B50" s="773" t="s">
        <v>2569</v>
      </c>
      <c r="C50" s="774"/>
      <c r="D50" s="774"/>
      <c r="E50" s="774"/>
      <c r="F50" s="775"/>
      <c r="G50" s="603" t="s">
        <v>1355</v>
      </c>
      <c r="H50" s="570">
        <f>H6</f>
        <v>0.4</v>
      </c>
      <c r="J50" s="552">
        <f t="shared" si="24"/>
        <v>2</v>
      </c>
      <c r="S50" s="552" t="str">
        <f t="shared" si="25"/>
        <v>1.1.</v>
      </c>
      <c r="T50" s="552" t="str">
        <f t="shared" si="25"/>
        <v>Прибирання небезпечних дерев.</v>
      </c>
      <c r="U50" s="552" t="str">
        <f t="shared" ref="U50:U60" si="27">G50</f>
        <v>га</v>
      </c>
      <c r="V50" s="771">
        <f t="shared" si="26"/>
        <v>0.4</v>
      </c>
    </row>
    <row r="51" spans="1:22">
      <c r="A51" s="772" t="s">
        <v>2570</v>
      </c>
      <c r="B51" s="773" t="s">
        <v>2571</v>
      </c>
      <c r="C51" s="774"/>
      <c r="D51" s="774"/>
      <c r="E51" s="774"/>
      <c r="F51" s="775"/>
      <c r="G51" s="603" t="s">
        <v>1355</v>
      </c>
      <c r="H51" s="570">
        <f>H7</f>
        <v>0.4</v>
      </c>
      <c r="J51" s="552">
        <f t="shared" si="24"/>
        <v>2</v>
      </c>
      <c r="S51" s="552" t="str">
        <f t="shared" si="25"/>
        <v>1.2.</v>
      </c>
      <c r="T51" s="552" t="str">
        <f t="shared" si="25"/>
        <v>Вирубування кущів і підросту, прибирання волоку, що заважає валці лісу.</v>
      </c>
      <c r="U51" s="552" t="str">
        <f t="shared" si="27"/>
        <v>га</v>
      </c>
      <c r="V51" s="771">
        <f t="shared" si="26"/>
        <v>0.4</v>
      </c>
    </row>
    <row r="52" spans="1:22">
      <c r="A52" s="772" t="s">
        <v>2572</v>
      </c>
      <c r="B52" s="773" t="s">
        <v>2573</v>
      </c>
      <c r="C52" s="774"/>
      <c r="D52" s="774"/>
      <c r="E52" s="774"/>
      <c r="F52" s="775"/>
      <c r="G52" s="603" t="s">
        <v>2574</v>
      </c>
      <c r="H52" s="571">
        <f>H8</f>
        <v>161</v>
      </c>
      <c r="J52" s="552">
        <f t="shared" si="24"/>
        <v>2</v>
      </c>
      <c r="S52" s="552" t="str">
        <f t="shared" si="25"/>
        <v>1.3.</v>
      </c>
      <c r="T52" s="552" t="str">
        <f t="shared" si="25"/>
        <v>Спилювання пнів бензиномоторними пилами.</v>
      </c>
      <c r="U52" s="552" t="str">
        <f t="shared" si="27"/>
        <v>шт.</v>
      </c>
      <c r="V52" s="776">
        <f t="shared" si="26"/>
        <v>161</v>
      </c>
    </row>
    <row r="53" spans="1:22">
      <c r="A53" s="772" t="s">
        <v>2575</v>
      </c>
      <c r="B53" s="773" t="s">
        <v>2606</v>
      </c>
      <c r="C53" s="774"/>
      <c r="D53" s="774"/>
      <c r="E53" s="774"/>
      <c r="F53" s="775"/>
      <c r="G53" s="603" t="s">
        <v>2577</v>
      </c>
      <c r="H53" s="571">
        <f>H9</f>
        <v>8</v>
      </c>
      <c r="J53" s="552">
        <f t="shared" si="24"/>
        <v>2</v>
      </c>
      <c r="S53" s="552" t="str">
        <f t="shared" si="25"/>
        <v>1.4.</v>
      </c>
      <c r="T53" s="552" t="str">
        <f t="shared" si="25"/>
        <v>Спалювання гілля.</v>
      </c>
      <c r="U53" s="552" t="str">
        <f t="shared" si="27"/>
        <v>кбм</v>
      </c>
      <c r="V53" s="777">
        <f t="shared" si="26"/>
        <v>8</v>
      </c>
    </row>
    <row r="54" spans="1:22">
      <c r="A54" s="769" t="s">
        <v>2578</v>
      </c>
      <c r="B54" s="770" t="s">
        <v>2579</v>
      </c>
      <c r="C54" s="627"/>
      <c r="D54" s="770"/>
      <c r="E54" s="627"/>
      <c r="F54" s="627"/>
      <c r="G54" s="604"/>
      <c r="H54" s="604"/>
      <c r="J54" s="552">
        <f t="shared" si="24"/>
        <v>1</v>
      </c>
      <c r="S54" s="552" t="str">
        <f t="shared" si="25"/>
        <v>2.</v>
      </c>
      <c r="T54" s="552" t="str">
        <f t="shared" si="25"/>
        <v>Лісосічні роботи.</v>
      </c>
      <c r="V54" s="777"/>
    </row>
    <row r="55" spans="1:22">
      <c r="A55" s="772" t="s">
        <v>2580</v>
      </c>
      <c r="B55" s="773" t="s">
        <v>2581</v>
      </c>
      <c r="C55" s="774"/>
      <c r="D55" s="774"/>
      <c r="E55" s="774"/>
      <c r="F55" s="775"/>
      <c r="G55" s="603" t="s">
        <v>2577</v>
      </c>
      <c r="H55" s="572">
        <f t="shared" ref="H55:H60" si="28">H11</f>
        <v>140</v>
      </c>
      <c r="J55" s="552">
        <f t="shared" si="24"/>
        <v>2</v>
      </c>
      <c r="S55" s="552" t="str">
        <f t="shared" si="25"/>
        <v>2.1.</v>
      </c>
      <c r="T55" s="552" t="str">
        <f t="shared" si="25"/>
        <v>Звалювання дерев бензиномоторними пилками.</v>
      </c>
      <c r="U55" s="552" t="str">
        <f t="shared" si="27"/>
        <v>кбм</v>
      </c>
      <c r="V55" s="777">
        <f t="shared" si="26"/>
        <v>140</v>
      </c>
    </row>
    <row r="56" spans="1:22">
      <c r="A56" s="772" t="s">
        <v>2582</v>
      </c>
      <c r="B56" s="773" t="s">
        <v>2583</v>
      </c>
      <c r="C56" s="774"/>
      <c r="D56" s="774"/>
      <c r="E56" s="774"/>
      <c r="F56" s="775"/>
      <c r="G56" s="603" t="s">
        <v>2577</v>
      </c>
      <c r="H56" s="572">
        <f t="shared" si="28"/>
        <v>140</v>
      </c>
      <c r="J56" s="552">
        <f t="shared" si="24"/>
        <v>2</v>
      </c>
      <c r="S56" s="552" t="str">
        <f t="shared" si="25"/>
        <v>2.2.</v>
      </c>
      <c r="T56" s="552" t="str">
        <f t="shared" si="25"/>
        <v>Зрізування гілок та сучків бензиномоторними пилками.</v>
      </c>
      <c r="U56" s="552" t="str">
        <f t="shared" si="27"/>
        <v>кбм</v>
      </c>
      <c r="V56" s="777">
        <f t="shared" si="26"/>
        <v>140</v>
      </c>
    </row>
    <row r="57" spans="1:22">
      <c r="A57" s="772" t="s">
        <v>2584</v>
      </c>
      <c r="B57" s="773" t="s">
        <v>2585</v>
      </c>
      <c r="C57" s="774"/>
      <c r="D57" s="774"/>
      <c r="E57" s="774"/>
      <c r="F57" s="775"/>
      <c r="G57" s="603" t="s">
        <v>2577</v>
      </c>
      <c r="H57" s="572">
        <f t="shared" si="28"/>
        <v>140</v>
      </c>
      <c r="J57" s="552">
        <f t="shared" si="24"/>
        <v>2</v>
      </c>
      <c r="S57" s="552" t="str">
        <f t="shared" si="25"/>
        <v>2.3.</v>
      </c>
      <c r="T57" s="552" t="str">
        <f t="shared" si="25"/>
        <v>Збирання, складання в купи гілок, сучків та інше.</v>
      </c>
      <c r="U57" s="552" t="str">
        <f t="shared" si="27"/>
        <v>кбм</v>
      </c>
      <c r="V57" s="777">
        <f t="shared" si="26"/>
        <v>140</v>
      </c>
    </row>
    <row r="58" spans="1:22">
      <c r="A58" s="772" t="s">
        <v>2586</v>
      </c>
      <c r="B58" s="773" t="s">
        <v>2587</v>
      </c>
      <c r="C58" s="774"/>
      <c r="D58" s="774"/>
      <c r="E58" s="774"/>
      <c r="F58" s="775"/>
      <c r="G58" s="603" t="s">
        <v>2577</v>
      </c>
      <c r="H58" s="572">
        <f t="shared" si="28"/>
        <v>140</v>
      </c>
      <c r="J58" s="552">
        <f t="shared" si="24"/>
        <v>2</v>
      </c>
      <c r="S58" s="552" t="str">
        <f t="shared" si="25"/>
        <v>2.4.</v>
      </c>
      <c r="T58" s="552" t="str">
        <f t="shared" si="25"/>
        <v>Розкряжування хлистів бензиномоторними пилами.</v>
      </c>
      <c r="U58" s="552" t="str">
        <f t="shared" si="27"/>
        <v>кбм</v>
      </c>
      <c r="V58" s="777">
        <f t="shared" si="26"/>
        <v>140</v>
      </c>
    </row>
    <row r="59" spans="1:22">
      <c r="A59" s="772" t="s">
        <v>2588</v>
      </c>
      <c r="B59" s="773" t="s">
        <v>2589</v>
      </c>
      <c r="C59" s="774"/>
      <c r="D59" s="774"/>
      <c r="E59" s="774"/>
      <c r="F59" s="775"/>
      <c r="G59" s="603" t="s">
        <v>2577</v>
      </c>
      <c r="H59" s="572">
        <f t="shared" si="28"/>
        <v>140</v>
      </c>
      <c r="J59" s="552">
        <f t="shared" si="24"/>
        <v>2</v>
      </c>
      <c r="S59" s="552" t="str">
        <f t="shared" si="25"/>
        <v>2.5.</v>
      </c>
      <c r="T59" s="552" t="str">
        <f t="shared" si="25"/>
        <v>Зачищення сучків після розкряжування.</v>
      </c>
      <c r="U59" s="552" t="str">
        <f t="shared" si="27"/>
        <v>кбм</v>
      </c>
      <c r="V59" s="777">
        <f t="shared" si="26"/>
        <v>140</v>
      </c>
    </row>
    <row r="60" spans="1:22">
      <c r="A60" s="772" t="s">
        <v>2590</v>
      </c>
      <c r="B60" s="773" t="s">
        <v>2591</v>
      </c>
      <c r="C60" s="774"/>
      <c r="D60" s="774"/>
      <c r="E60" s="774"/>
      <c r="F60" s="775"/>
      <c r="G60" s="603" t="s">
        <v>2577</v>
      </c>
      <c r="H60" s="572">
        <f t="shared" si="28"/>
        <v>36</v>
      </c>
      <c r="J60" s="552">
        <f t="shared" si="24"/>
        <v>2</v>
      </c>
      <c r="S60" s="552" t="str">
        <f t="shared" si="25"/>
        <v>2.6.</v>
      </c>
      <c r="T60" s="552" t="str">
        <f t="shared" si="25"/>
        <v>Укладання дров у стоси вручну.</v>
      </c>
      <c r="U60" s="552" t="str">
        <f t="shared" si="27"/>
        <v>кбм</v>
      </c>
      <c r="V60" s="777">
        <f t="shared" si="26"/>
        <v>36</v>
      </c>
    </row>
    <row r="61" spans="1:22">
      <c r="A61" s="769" t="s">
        <v>2594</v>
      </c>
      <c r="B61" s="778" t="s">
        <v>2607</v>
      </c>
      <c r="C61" s="779"/>
      <c r="D61" s="779"/>
      <c r="E61" s="779"/>
      <c r="F61" s="780"/>
      <c r="G61" s="603" t="s">
        <v>2577</v>
      </c>
      <c r="H61" s="573"/>
      <c r="J61" s="552">
        <f t="shared" si="24"/>
        <v>1</v>
      </c>
      <c r="S61" s="552" t="str">
        <f t="shared" si="25"/>
        <v>3.</v>
      </c>
      <c r="T61" s="552" t="str">
        <f t="shared" si="25"/>
        <v>Трелювання деревини сортиментами з сортуванням.</v>
      </c>
      <c r="U61" s="552" t="str">
        <f>G61</f>
        <v>кбм</v>
      </c>
      <c r="V61" s="777">
        <f t="shared" si="26"/>
        <v>0</v>
      </c>
    </row>
  </sheetData>
  <conditionalFormatting sqref="G48:H48 A26:H42 A50:H61 A49:F49 A45:H47">
    <cfRule type="cellIs" dxfId="14" priority="7" operator="equal">
      <formula>0</formula>
    </cfRule>
  </conditionalFormatting>
  <conditionalFormatting sqref="G37:H37 G41:H41 AW2 A1:BK1 A2:AU2">
    <cfRule type="cellIs" dxfId="13" priority="5" operator="equal">
      <formula>#DIV/0!</formula>
    </cfRule>
    <cfRule type="cellIs" dxfId="12" priority="6" operator="equal">
      <formula>0</formula>
    </cfRule>
  </conditionalFormatting>
  <conditionalFormatting sqref="E48:F48">
    <cfRule type="cellIs" dxfId="11" priority="4" operator="equal">
      <formula>0</formula>
    </cfRule>
  </conditionalFormatting>
  <conditionalFormatting sqref="AY2:BK2">
    <cfRule type="cellIs" dxfId="10" priority="2" operator="equal">
      <formula>#DIV/0!</formula>
    </cfRule>
    <cfRule type="cellIs" dxfId="9" priority="3" operator="equal">
      <formula>0</formula>
    </cfRule>
  </conditionalFormatting>
  <conditionalFormatting sqref="B48:D48">
    <cfRule type="cellIs" dxfId="8" priority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Z32"/>
  <sheetViews>
    <sheetView topLeftCell="A4" workbookViewId="0">
      <selection activeCell="O13" sqref="O13"/>
    </sheetView>
  </sheetViews>
  <sheetFormatPr defaultRowHeight="15"/>
  <cols>
    <col min="1" max="1" width="9.140625" style="552"/>
    <col min="2" max="2" width="8.85546875" style="552" customWidth="1"/>
    <col min="3" max="3" width="9.140625" style="552"/>
    <col min="4" max="6" width="8.85546875" style="552" customWidth="1"/>
    <col min="7" max="7" width="9.42578125" style="552" customWidth="1"/>
    <col min="8" max="8" width="11.85546875" style="552" customWidth="1"/>
    <col min="9" max="9" width="11" style="552" customWidth="1"/>
    <col min="10" max="10" width="14.140625" style="552" customWidth="1"/>
    <col min="11" max="11" width="13.42578125" style="552" customWidth="1"/>
    <col min="12" max="16384" width="9.140625" style="552"/>
  </cols>
  <sheetData>
    <row r="1" spans="1:26">
      <c r="A1" s="551" t="s">
        <v>2560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</row>
    <row r="2" spans="1:26">
      <c r="A2" s="551" t="s">
        <v>2561</v>
      </c>
      <c r="B2" s="551"/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</row>
    <row r="4" spans="1:26" ht="25.15" customHeight="1">
      <c r="A4" s="553" t="s">
        <v>2562</v>
      </c>
      <c r="B4" s="553"/>
      <c r="C4" s="646" t="s">
        <v>1325</v>
      </c>
      <c r="D4" s="646"/>
      <c r="E4" s="646"/>
      <c r="F4" s="646"/>
      <c r="G4" s="646"/>
      <c r="H4" s="553" t="s">
        <v>2563</v>
      </c>
      <c r="I4" s="553" t="s">
        <v>1326</v>
      </c>
      <c r="J4" s="553" t="s">
        <v>2564</v>
      </c>
      <c r="K4" s="553" t="s">
        <v>2565</v>
      </c>
    </row>
    <row r="5" spans="1:26">
      <c r="A5" s="554" t="s">
        <v>2566</v>
      </c>
      <c r="B5" s="554"/>
      <c r="C5" s="647" t="s">
        <v>2579</v>
      </c>
      <c r="D5" s="647"/>
      <c r="E5" s="647"/>
      <c r="F5" s="647"/>
      <c r="G5" s="647"/>
      <c r="H5" s="648"/>
      <c r="I5" s="648"/>
      <c r="J5" s="648"/>
      <c r="K5" s="554"/>
    </row>
    <row r="6" spans="1:26" ht="40.15" customHeight="1">
      <c r="A6" s="574" t="s">
        <v>2608</v>
      </c>
      <c r="B6" s="555"/>
      <c r="C6" s="648" t="s">
        <v>2621</v>
      </c>
      <c r="D6" s="648"/>
      <c r="E6" s="648"/>
      <c r="F6" s="648"/>
      <c r="G6" s="648"/>
      <c r="H6" s="555" t="s">
        <v>2577</v>
      </c>
      <c r="I6" s="554"/>
      <c r="J6" s="556"/>
      <c r="K6" s="554"/>
    </row>
    <row r="7" spans="1:26" ht="30" customHeight="1">
      <c r="A7" s="574" t="s">
        <v>2609</v>
      </c>
      <c r="B7" s="555"/>
      <c r="C7" s="648" t="s">
        <v>2622</v>
      </c>
      <c r="D7" s="648"/>
      <c r="E7" s="648"/>
      <c r="F7" s="648"/>
      <c r="G7" s="648"/>
      <c r="H7" s="555" t="s">
        <v>2577</v>
      </c>
      <c r="I7" s="554"/>
      <c r="J7" s="556"/>
      <c r="K7" s="554"/>
    </row>
    <row r="8" spans="1:26">
      <c r="A8" s="644" t="s">
        <v>2615</v>
      </c>
      <c r="B8" s="644"/>
      <c r="C8" s="645"/>
      <c r="D8" s="645"/>
      <c r="E8" s="645"/>
      <c r="F8" s="645"/>
      <c r="G8" s="645"/>
      <c r="H8" s="645"/>
      <c r="I8" s="645"/>
      <c r="J8" s="557" t="e">
        <f>K8/I6</f>
        <v>#DIV/0!</v>
      </c>
      <c r="K8" s="557">
        <f>K6+K7</f>
        <v>0</v>
      </c>
    </row>
    <row r="9" spans="1:26">
      <c r="A9" s="644" t="s">
        <v>1634</v>
      </c>
      <c r="B9" s="644"/>
      <c r="C9" s="645"/>
      <c r="D9" s="645"/>
      <c r="E9" s="645"/>
      <c r="F9" s="645"/>
      <c r="G9" s="645"/>
      <c r="H9" s="645"/>
      <c r="I9" s="645"/>
      <c r="J9" s="557"/>
      <c r="K9" s="557">
        <v>0</v>
      </c>
    </row>
    <row r="10" spans="1:26">
      <c r="A10" s="644" t="s">
        <v>2618</v>
      </c>
      <c r="B10" s="644"/>
      <c r="C10" s="645"/>
      <c r="D10" s="645"/>
      <c r="E10" s="645"/>
      <c r="F10" s="645"/>
      <c r="G10" s="645"/>
      <c r="H10" s="645"/>
      <c r="I10" s="645"/>
      <c r="J10" s="557"/>
      <c r="K10" s="557">
        <f>K8+K9</f>
        <v>0</v>
      </c>
    </row>
    <row r="13" spans="1:26" ht="15.75">
      <c r="A13" s="649" t="s">
        <v>2598</v>
      </c>
      <c r="B13" s="649"/>
      <c r="C13" s="649"/>
      <c r="D13" s="649"/>
      <c r="E13" s="649"/>
      <c r="F13" s="649"/>
      <c r="G13" s="649"/>
      <c r="H13" s="649"/>
      <c r="I13" s="649"/>
    </row>
    <row r="14" spans="1:26">
      <c r="A14" s="650" t="s">
        <v>2599</v>
      </c>
      <c r="B14" s="650"/>
      <c r="C14" s="650"/>
      <c r="D14" s="650"/>
      <c r="E14" s="650"/>
      <c r="F14" s="650"/>
      <c r="G14" s="650"/>
      <c r="H14" s="650"/>
      <c r="I14" s="650"/>
    </row>
    <row r="15" spans="1:26">
      <c r="A15" s="651"/>
      <c r="B15" s="651"/>
      <c r="C15" s="651"/>
      <c r="D15" s="651"/>
      <c r="E15" s="651"/>
      <c r="F15" s="651"/>
      <c r="G15" s="651"/>
      <c r="H15" s="651"/>
      <c r="I15" s="651"/>
    </row>
    <row r="16" spans="1:26">
      <c r="A16" s="651" t="s">
        <v>10</v>
      </c>
      <c r="B16" s="652"/>
      <c r="C16" s="652"/>
      <c r="D16" s="652"/>
      <c r="E16" s="652"/>
      <c r="F16" s="653"/>
      <c r="G16" s="653"/>
      <c r="H16" s="653"/>
      <c r="I16" s="653"/>
    </row>
    <row r="17" spans="1:9">
      <c r="A17" s="651" t="s">
        <v>2600</v>
      </c>
      <c r="B17" s="651"/>
      <c r="C17" s="651"/>
      <c r="D17" s="653">
        <f>+[11]кошторис!D26</f>
        <v>0</v>
      </c>
      <c r="E17" s="653"/>
      <c r="F17" s="654"/>
      <c r="G17" s="654"/>
      <c r="H17" s="562"/>
      <c r="I17" s="563"/>
    </row>
    <row r="18" spans="1:9">
      <c r="A18" s="651" t="s">
        <v>2601</v>
      </c>
      <c r="B18" s="651"/>
      <c r="C18" s="651"/>
      <c r="D18" s="651"/>
      <c r="E18" s="651"/>
      <c r="F18" s="562"/>
      <c r="G18" s="563"/>
      <c r="H18" s="563"/>
      <c r="I18" s="564"/>
    </row>
    <row r="19" spans="1:9">
      <c r="A19" s="651"/>
      <c r="B19" s="651"/>
      <c r="C19" s="651"/>
      <c r="D19" s="651"/>
      <c r="E19" s="651"/>
      <c r="F19" s="651"/>
      <c r="G19" s="651"/>
      <c r="H19" s="651"/>
      <c r="I19" s="651"/>
    </row>
    <row r="20" spans="1:9" ht="38.25">
      <c r="A20" s="655" t="s">
        <v>2562</v>
      </c>
      <c r="B20" s="655"/>
      <c r="C20" s="655" t="s">
        <v>2602</v>
      </c>
      <c r="D20" s="655"/>
      <c r="E20" s="655"/>
      <c r="F20" s="565" t="s">
        <v>2563</v>
      </c>
      <c r="G20" s="565" t="s">
        <v>1326</v>
      </c>
      <c r="H20" s="565" t="s">
        <v>2564</v>
      </c>
      <c r="I20" s="565" t="s">
        <v>2565</v>
      </c>
    </row>
    <row r="21" spans="1:9">
      <c r="A21" s="656" t="s">
        <v>2566</v>
      </c>
      <c r="B21" s="657"/>
      <c r="C21" s="658" t="s">
        <v>2579</v>
      </c>
      <c r="D21" s="658"/>
      <c r="E21" s="658"/>
      <c r="F21" s="568" t="s">
        <v>2577</v>
      </c>
      <c r="G21" s="575">
        <f>I6</f>
        <v>0</v>
      </c>
      <c r="H21" s="576" t="e">
        <f>I21/G21</f>
        <v>#DIV/0!</v>
      </c>
      <c r="I21" s="566">
        <f>K10</f>
        <v>0</v>
      </c>
    </row>
    <row r="22" spans="1:9">
      <c r="A22" s="659" t="s">
        <v>2617</v>
      </c>
      <c r="B22" s="660"/>
      <c r="C22" s="660"/>
      <c r="D22" s="660"/>
      <c r="E22" s="660"/>
      <c r="F22" s="660"/>
      <c r="G22" s="660"/>
      <c r="H22" s="567"/>
      <c r="I22" s="567"/>
    </row>
    <row r="23" spans="1:9">
      <c r="A23" s="659" t="s">
        <v>1634</v>
      </c>
      <c r="B23" s="660"/>
      <c r="C23" s="660"/>
      <c r="D23" s="660"/>
      <c r="E23" s="660"/>
      <c r="F23" s="660"/>
      <c r="G23" s="660"/>
      <c r="H23" s="567"/>
      <c r="I23" s="567"/>
    </row>
    <row r="24" spans="1:9">
      <c r="A24" s="659" t="s">
        <v>2618</v>
      </c>
      <c r="B24" s="660"/>
      <c r="C24" s="660"/>
      <c r="D24" s="660"/>
      <c r="E24" s="660"/>
      <c r="F24" s="660"/>
      <c r="G24" s="660"/>
      <c r="H24" s="567">
        <f>+H23+H22</f>
        <v>0</v>
      </c>
      <c r="I24" s="567">
        <f>+I23+I22</f>
        <v>0</v>
      </c>
    </row>
    <row r="27" spans="1:9" ht="15.75">
      <c r="A27" s="649" t="s">
        <v>2604</v>
      </c>
      <c r="B27" s="649"/>
      <c r="C27" s="649"/>
      <c r="D27" s="649"/>
      <c r="E27" s="649"/>
      <c r="F27" s="649"/>
      <c r="G27" s="649"/>
      <c r="H27" s="649"/>
      <c r="I27" s="649"/>
    </row>
    <row r="28" spans="1:9">
      <c r="A28" s="650"/>
      <c r="B28" s="650"/>
      <c r="C28" s="650"/>
      <c r="D28" s="650"/>
      <c r="E28" s="650"/>
      <c r="F28" s="650"/>
      <c r="G28" s="650"/>
      <c r="H28" s="650"/>
      <c r="I28" s="650"/>
    </row>
    <row r="29" spans="1:9">
      <c r="A29" s="665" t="s">
        <v>2605</v>
      </c>
      <c r="B29" s="652"/>
      <c r="C29" s="652"/>
      <c r="D29" s="652"/>
      <c r="E29" s="652"/>
      <c r="F29" s="652"/>
      <c r="G29" s="652"/>
      <c r="H29" s="652"/>
      <c r="I29" s="652"/>
    </row>
    <row r="30" spans="1:9">
      <c r="A30" s="666" t="s">
        <v>2566</v>
      </c>
      <c r="B30" s="667"/>
      <c r="C30" s="668" t="s">
        <v>2579</v>
      </c>
      <c r="D30" s="668"/>
      <c r="E30" s="668"/>
      <c r="F30" s="668"/>
      <c r="G30" s="668"/>
      <c r="H30" s="669"/>
      <c r="I30" s="669"/>
    </row>
    <row r="31" spans="1:9" ht="42" customHeight="1">
      <c r="A31" s="661" t="s">
        <v>2608</v>
      </c>
      <c r="B31" s="662"/>
      <c r="C31" s="663" t="str">
        <f>C6</f>
        <v>Спилювання дерев товщиною в окопенку 4 см з переходом для заправки кущоріза, технічне обслуговуваня механізму</v>
      </c>
      <c r="D31" s="664"/>
      <c r="E31" s="664"/>
      <c r="F31" s="664"/>
      <c r="G31" s="664"/>
      <c r="H31" s="569" t="s">
        <v>2577</v>
      </c>
      <c r="I31" s="572">
        <f>I6</f>
        <v>0</v>
      </c>
    </row>
    <row r="32" spans="1:9" ht="37.15" customHeight="1">
      <c r="A32" s="661" t="s">
        <v>2609</v>
      </c>
      <c r="B32" s="662"/>
      <c r="C32" s="663" t="str">
        <f>C7</f>
        <v>Очищення місць рубок після освітлення та прочистки механізованим способом</v>
      </c>
      <c r="D32" s="664"/>
      <c r="E32" s="664"/>
      <c r="F32" s="664"/>
      <c r="G32" s="664"/>
      <c r="H32" s="569" t="s">
        <v>2577</v>
      </c>
      <c r="I32" s="577">
        <f>I7</f>
        <v>0</v>
      </c>
    </row>
  </sheetData>
  <mergeCells count="33">
    <mergeCell ref="A32:B32"/>
    <mergeCell ref="C32:G32"/>
    <mergeCell ref="A28:I28"/>
    <mergeCell ref="A29:I29"/>
    <mergeCell ref="A30:B30"/>
    <mergeCell ref="C30:I30"/>
    <mergeCell ref="A31:B31"/>
    <mergeCell ref="C31:G31"/>
    <mergeCell ref="A27:I27"/>
    <mergeCell ref="A17:C17"/>
    <mergeCell ref="D17:E17"/>
    <mergeCell ref="F17:G17"/>
    <mergeCell ref="A18:E18"/>
    <mergeCell ref="A19:I19"/>
    <mergeCell ref="A20:B20"/>
    <mergeCell ref="C20:E20"/>
    <mergeCell ref="A21:B21"/>
    <mergeCell ref="C21:E21"/>
    <mergeCell ref="A22:G22"/>
    <mergeCell ref="A23:G23"/>
    <mergeCell ref="A24:G24"/>
    <mergeCell ref="A10:I10"/>
    <mergeCell ref="A13:I13"/>
    <mergeCell ref="A14:I14"/>
    <mergeCell ref="A15:I15"/>
    <mergeCell ref="A16:E16"/>
    <mergeCell ref="F16:I16"/>
    <mergeCell ref="A9:I9"/>
    <mergeCell ref="C4:G4"/>
    <mergeCell ref="C5:J5"/>
    <mergeCell ref="C6:G6"/>
    <mergeCell ref="C7:G7"/>
    <mergeCell ref="A8:I8"/>
  </mergeCells>
  <conditionalFormatting sqref="A13:I24 A27:I32">
    <cfRule type="cellIs" dxfId="27" priority="5" operator="equal">
      <formula>0</formula>
    </cfRule>
  </conditionalFormatting>
  <conditionalFormatting sqref="H23:I23 A1:Z2">
    <cfRule type="cellIs" dxfId="26" priority="3" operator="equal">
      <formula>#DIV/0!</formula>
    </cfRule>
    <cfRule type="cellIs" dxfId="25" priority="4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AA49"/>
  <sheetViews>
    <sheetView workbookViewId="0">
      <selection activeCell="C15" sqref="C15:G15"/>
    </sheetView>
  </sheetViews>
  <sheetFormatPr defaultRowHeight="15"/>
  <cols>
    <col min="1" max="1" width="9.140625" style="552"/>
    <col min="2" max="2" width="8.85546875" style="552" customWidth="1"/>
    <col min="3" max="3" width="9.140625" style="552"/>
    <col min="4" max="6" width="8.85546875" style="552" customWidth="1"/>
    <col min="7" max="7" width="9.42578125" style="552" customWidth="1"/>
    <col min="8" max="8" width="11.85546875" style="552" customWidth="1"/>
    <col min="9" max="9" width="11" style="552" customWidth="1"/>
    <col min="10" max="10" width="14.140625" style="552" customWidth="1"/>
    <col min="11" max="11" width="13.42578125" style="552" customWidth="1"/>
    <col min="12" max="16384" width="9.140625" style="552"/>
  </cols>
  <sheetData>
    <row r="1" spans="1:27">
      <c r="A1" s="551" t="s">
        <v>2560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  <c r="AA1" s="551"/>
    </row>
    <row r="2" spans="1:27">
      <c r="A2" s="551" t="s">
        <v>2561</v>
      </c>
      <c r="B2" s="551"/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</row>
    <row r="4" spans="1:27" ht="21">
      <c r="A4" s="578" t="s">
        <v>2562</v>
      </c>
      <c r="B4" s="578"/>
      <c r="C4" s="671" t="s">
        <v>1325</v>
      </c>
      <c r="D4" s="671"/>
      <c r="E4" s="671"/>
      <c r="F4" s="671"/>
      <c r="G4" s="671"/>
      <c r="H4" s="578" t="s">
        <v>2563</v>
      </c>
      <c r="I4" s="578" t="s">
        <v>1326</v>
      </c>
      <c r="J4" s="578" t="s">
        <v>2564</v>
      </c>
      <c r="K4" s="578" t="s">
        <v>2565</v>
      </c>
    </row>
    <row r="5" spans="1:27">
      <c r="A5" s="579" t="s">
        <v>2566</v>
      </c>
      <c r="B5" s="579"/>
      <c r="C5" s="672" t="s">
        <v>2579</v>
      </c>
      <c r="D5" s="672"/>
      <c r="E5" s="672"/>
      <c r="F5" s="672"/>
      <c r="G5" s="672"/>
      <c r="H5" s="673"/>
      <c r="I5" s="673"/>
      <c r="J5" s="673"/>
      <c r="K5" s="579"/>
    </row>
    <row r="6" spans="1:27">
      <c r="A6" s="580" t="s">
        <v>2608</v>
      </c>
      <c r="B6" s="581"/>
      <c r="C6" s="673" t="s">
        <v>2581</v>
      </c>
      <c r="D6" s="673"/>
      <c r="E6" s="673"/>
      <c r="F6" s="673"/>
      <c r="G6" s="673"/>
      <c r="H6" s="581" t="s">
        <v>2577</v>
      </c>
      <c r="I6" s="579"/>
      <c r="J6" s="582"/>
      <c r="K6" s="579"/>
    </row>
    <row r="7" spans="1:27">
      <c r="A7" s="580" t="s">
        <v>2609</v>
      </c>
      <c r="B7" s="581"/>
      <c r="C7" s="673" t="s">
        <v>2583</v>
      </c>
      <c r="D7" s="673"/>
      <c r="E7" s="673"/>
      <c r="F7" s="673"/>
      <c r="G7" s="673"/>
      <c r="H7" s="581" t="s">
        <v>2577</v>
      </c>
      <c r="I7" s="579"/>
      <c r="J7" s="582"/>
      <c r="K7" s="579"/>
    </row>
    <row r="8" spans="1:27">
      <c r="A8" s="580" t="s">
        <v>2610</v>
      </c>
      <c r="B8" s="581"/>
      <c r="C8" s="673" t="s">
        <v>2611</v>
      </c>
      <c r="D8" s="673"/>
      <c r="E8" s="673"/>
      <c r="F8" s="673"/>
      <c r="G8" s="673"/>
      <c r="H8" s="581" t="s">
        <v>2577</v>
      </c>
      <c r="I8" s="579"/>
      <c r="J8" s="582"/>
      <c r="K8" s="579"/>
    </row>
    <row r="9" spans="1:27">
      <c r="A9" s="580" t="s">
        <v>2612</v>
      </c>
      <c r="B9" s="581"/>
      <c r="C9" s="673" t="s">
        <v>2587</v>
      </c>
      <c r="D9" s="673"/>
      <c r="E9" s="673"/>
      <c r="F9" s="673"/>
      <c r="G9" s="673"/>
      <c r="H9" s="581" t="s">
        <v>2577</v>
      </c>
      <c r="I9" s="579"/>
      <c r="J9" s="582"/>
      <c r="K9" s="579"/>
    </row>
    <row r="10" spans="1:27">
      <c r="A10" s="580" t="s">
        <v>2613</v>
      </c>
      <c r="B10" s="581"/>
      <c r="C10" s="673" t="s">
        <v>2589</v>
      </c>
      <c r="D10" s="673"/>
      <c r="E10" s="673"/>
      <c r="F10" s="673"/>
      <c r="G10" s="673"/>
      <c r="H10" s="581" t="s">
        <v>2577</v>
      </c>
      <c r="I10" s="579"/>
      <c r="J10" s="582"/>
      <c r="K10" s="579"/>
    </row>
    <row r="11" spans="1:27">
      <c r="A11" s="580" t="s">
        <v>2614</v>
      </c>
      <c r="B11" s="581"/>
      <c r="C11" s="673" t="s">
        <v>2591</v>
      </c>
      <c r="D11" s="673"/>
      <c r="E11" s="673"/>
      <c r="F11" s="673"/>
      <c r="G11" s="673"/>
      <c r="H11" s="581" t="s">
        <v>2577</v>
      </c>
      <c r="I11" s="579"/>
      <c r="J11" s="582"/>
      <c r="K11" s="579"/>
    </row>
    <row r="12" spans="1:27">
      <c r="A12" s="674" t="s">
        <v>2615</v>
      </c>
      <c r="B12" s="674"/>
      <c r="C12" s="675"/>
      <c r="D12" s="675"/>
      <c r="E12" s="675"/>
      <c r="F12" s="675"/>
      <c r="G12" s="675"/>
      <c r="H12" s="675"/>
      <c r="I12" s="675"/>
      <c r="J12" s="583" t="e">
        <f>K12/I6</f>
        <v>#DIV/0!</v>
      </c>
      <c r="K12" s="583">
        <f>K6+K7+K8+K9+K10+K11</f>
        <v>0</v>
      </c>
    </row>
    <row r="13" spans="1:27">
      <c r="A13" s="674" t="s">
        <v>1634</v>
      </c>
      <c r="B13" s="674"/>
      <c r="C13" s="675"/>
      <c r="D13" s="675"/>
      <c r="E13" s="675"/>
      <c r="F13" s="675"/>
      <c r="G13" s="675"/>
      <c r="H13" s="675"/>
      <c r="I13" s="675"/>
      <c r="J13" s="583"/>
      <c r="K13" s="583">
        <v>0</v>
      </c>
    </row>
    <row r="14" spans="1:27">
      <c r="A14" s="674" t="s">
        <v>2616</v>
      </c>
      <c r="B14" s="674"/>
      <c r="C14" s="675"/>
      <c r="D14" s="675"/>
      <c r="E14" s="675"/>
      <c r="F14" s="675"/>
      <c r="G14" s="675"/>
      <c r="H14" s="675"/>
      <c r="I14" s="675"/>
      <c r="J14" s="583"/>
      <c r="K14" s="583">
        <f>K12+K13</f>
        <v>0</v>
      </c>
    </row>
    <row r="15" spans="1:27">
      <c r="A15" s="584" t="s">
        <v>2578</v>
      </c>
      <c r="B15" s="585"/>
      <c r="C15" s="670" t="s">
        <v>2607</v>
      </c>
      <c r="D15" s="670"/>
      <c r="E15" s="670"/>
      <c r="F15" s="670"/>
      <c r="G15" s="670"/>
      <c r="H15" s="586"/>
      <c r="I15" s="585"/>
      <c r="J15" s="587"/>
      <c r="K15" s="588" t="s">
        <v>410</v>
      </c>
    </row>
    <row r="16" spans="1:27">
      <c r="A16" s="676" t="s">
        <v>2596</v>
      </c>
      <c r="B16" s="676"/>
      <c r="C16" s="677"/>
      <c r="D16" s="677"/>
      <c r="E16" s="677"/>
      <c r="F16" s="677"/>
      <c r="G16" s="677"/>
      <c r="H16" s="677"/>
      <c r="I16" s="677"/>
      <c r="J16" s="589"/>
      <c r="K16" s="589" t="s">
        <v>410</v>
      </c>
    </row>
    <row r="17" spans="1:11">
      <c r="A17" s="676" t="s">
        <v>1634</v>
      </c>
      <c r="B17" s="676"/>
      <c r="C17" s="677"/>
      <c r="D17" s="677"/>
      <c r="E17" s="677"/>
      <c r="F17" s="677"/>
      <c r="G17" s="677"/>
      <c r="H17" s="677"/>
      <c r="I17" s="677"/>
      <c r="J17" s="589"/>
      <c r="K17" s="589" t="s">
        <v>410</v>
      </c>
    </row>
    <row r="18" spans="1:11">
      <c r="A18" s="676" t="s">
        <v>2597</v>
      </c>
      <c r="B18" s="676"/>
      <c r="C18" s="677"/>
      <c r="D18" s="677"/>
      <c r="E18" s="677"/>
      <c r="F18" s="677"/>
      <c r="G18" s="677"/>
      <c r="H18" s="677"/>
      <c r="I18" s="677"/>
      <c r="J18" s="589"/>
      <c r="K18" s="589" t="s">
        <v>410</v>
      </c>
    </row>
    <row r="21" spans="1:11" ht="15.75">
      <c r="A21" s="649" t="s">
        <v>2598</v>
      </c>
      <c r="B21" s="649"/>
      <c r="C21" s="649"/>
      <c r="D21" s="649"/>
      <c r="E21" s="649"/>
      <c r="F21" s="649"/>
      <c r="G21" s="649"/>
      <c r="H21" s="649"/>
      <c r="I21" s="649"/>
    </row>
    <row r="22" spans="1:11">
      <c r="A22" s="650" t="s">
        <v>2599</v>
      </c>
      <c r="B22" s="650"/>
      <c r="C22" s="650"/>
      <c r="D22" s="650"/>
      <c r="E22" s="650"/>
      <c r="F22" s="650"/>
      <c r="G22" s="650"/>
      <c r="H22" s="650"/>
      <c r="I22" s="650"/>
    </row>
    <row r="23" spans="1:11">
      <c r="A23" s="651"/>
      <c r="B23" s="651"/>
      <c r="C23" s="651"/>
      <c r="D23" s="651"/>
      <c r="E23" s="651"/>
      <c r="F23" s="651"/>
      <c r="G23" s="651"/>
      <c r="H23" s="651"/>
      <c r="I23" s="651"/>
    </row>
    <row r="24" spans="1:11">
      <c r="A24" s="651" t="s">
        <v>10</v>
      </c>
      <c r="B24" s="652"/>
      <c r="C24" s="652"/>
      <c r="D24" s="652"/>
      <c r="E24" s="652"/>
      <c r="F24" s="653"/>
      <c r="G24" s="653"/>
      <c r="H24" s="653"/>
      <c r="I24" s="653"/>
    </row>
    <row r="25" spans="1:11">
      <c r="A25" s="651" t="s">
        <v>2600</v>
      </c>
      <c r="B25" s="651"/>
      <c r="C25" s="651"/>
      <c r="D25" s="653">
        <f>+[11]кошторис!D26</f>
        <v>0</v>
      </c>
      <c r="E25" s="653"/>
      <c r="F25" s="654"/>
      <c r="G25" s="654"/>
      <c r="H25" s="562"/>
      <c r="I25" s="563"/>
    </row>
    <row r="26" spans="1:11">
      <c r="A26" s="651" t="s">
        <v>2601</v>
      </c>
      <c r="B26" s="651"/>
      <c r="C26" s="651"/>
      <c r="D26" s="651"/>
      <c r="E26" s="651"/>
      <c r="F26" s="562"/>
      <c r="G26" s="563"/>
      <c r="H26" s="563"/>
      <c r="I26" s="564"/>
    </row>
    <row r="27" spans="1:11">
      <c r="A27" s="651"/>
      <c r="B27" s="651"/>
      <c r="C27" s="651"/>
      <c r="D27" s="651"/>
      <c r="E27" s="651"/>
      <c r="F27" s="651"/>
      <c r="G27" s="651"/>
      <c r="H27" s="651"/>
      <c r="I27" s="651"/>
    </row>
    <row r="28" spans="1:11" ht="38.25">
      <c r="A28" s="655" t="s">
        <v>2562</v>
      </c>
      <c r="B28" s="655"/>
      <c r="C28" s="655" t="s">
        <v>2602</v>
      </c>
      <c r="D28" s="655"/>
      <c r="E28" s="655"/>
      <c r="F28" s="565" t="s">
        <v>2563</v>
      </c>
      <c r="G28" s="565" t="s">
        <v>1326</v>
      </c>
      <c r="H28" s="565" t="s">
        <v>2564</v>
      </c>
      <c r="I28" s="565" t="s">
        <v>2565</v>
      </c>
    </row>
    <row r="29" spans="1:11">
      <c r="A29" s="656" t="s">
        <v>2566</v>
      </c>
      <c r="B29" s="657"/>
      <c r="C29" s="658" t="s">
        <v>2579</v>
      </c>
      <c r="D29" s="658"/>
      <c r="E29" s="658"/>
      <c r="F29" s="568" t="s">
        <v>2577</v>
      </c>
      <c r="G29" s="575">
        <f>I6</f>
        <v>0</v>
      </c>
      <c r="H29" s="576" t="e">
        <f>I29/G29</f>
        <v>#DIV/0!</v>
      </c>
      <c r="I29" s="566">
        <f>K14</f>
        <v>0</v>
      </c>
    </row>
    <row r="30" spans="1:11">
      <c r="A30" s="659" t="s">
        <v>2617</v>
      </c>
      <c r="B30" s="660"/>
      <c r="C30" s="660"/>
      <c r="D30" s="660"/>
      <c r="E30" s="660"/>
      <c r="F30" s="660"/>
      <c r="G30" s="660"/>
      <c r="H30" s="567"/>
      <c r="I30" s="567"/>
    </row>
    <row r="31" spans="1:11">
      <c r="A31" s="659" t="s">
        <v>1634</v>
      </c>
      <c r="B31" s="660"/>
      <c r="C31" s="660"/>
      <c r="D31" s="660"/>
      <c r="E31" s="660"/>
      <c r="F31" s="660"/>
      <c r="G31" s="660"/>
      <c r="H31" s="567"/>
      <c r="I31" s="567"/>
    </row>
    <row r="32" spans="1:11">
      <c r="A32" s="659" t="s">
        <v>2618</v>
      </c>
      <c r="B32" s="660"/>
      <c r="C32" s="660"/>
      <c r="D32" s="660"/>
      <c r="E32" s="660"/>
      <c r="F32" s="660"/>
      <c r="G32" s="660"/>
      <c r="H32" s="567">
        <f>+H31+H30</f>
        <v>0</v>
      </c>
      <c r="I32" s="567">
        <f>+I31+I30</f>
        <v>0</v>
      </c>
    </row>
    <row r="33" spans="1:9" ht="31.15" customHeight="1">
      <c r="A33" s="656" t="s">
        <v>2594</v>
      </c>
      <c r="B33" s="657"/>
      <c r="C33" s="658" t="s">
        <v>2619</v>
      </c>
      <c r="D33" s="658"/>
      <c r="E33" s="658"/>
      <c r="F33" s="568" t="s">
        <v>2577</v>
      </c>
      <c r="G33" s="568"/>
      <c r="H33" s="566">
        <f>+[11]кошторис!V46</f>
        <v>0</v>
      </c>
      <c r="I33" s="566">
        <f>+[11]кошторис!Z46</f>
        <v>0</v>
      </c>
    </row>
    <row r="34" spans="1:9">
      <c r="A34" s="659" t="s">
        <v>2596</v>
      </c>
      <c r="B34" s="660"/>
      <c r="C34" s="660"/>
      <c r="D34" s="660"/>
      <c r="E34" s="660"/>
      <c r="F34" s="660"/>
      <c r="G34" s="660"/>
      <c r="H34" s="567"/>
      <c r="I34" s="567">
        <f>+I33</f>
        <v>0</v>
      </c>
    </row>
    <row r="35" spans="1:9">
      <c r="A35" s="659" t="s">
        <v>1634</v>
      </c>
      <c r="B35" s="660"/>
      <c r="C35" s="660"/>
      <c r="D35" s="660"/>
      <c r="E35" s="660"/>
      <c r="F35" s="660"/>
      <c r="G35" s="660"/>
      <c r="H35" s="567"/>
      <c r="I35" s="567"/>
    </row>
    <row r="36" spans="1:9">
      <c r="A36" s="659" t="s">
        <v>2597</v>
      </c>
      <c r="B36" s="660"/>
      <c r="C36" s="660"/>
      <c r="D36" s="660"/>
      <c r="E36" s="660"/>
      <c r="F36" s="660"/>
      <c r="G36" s="660"/>
      <c r="H36" s="567">
        <f>+H35+H34</f>
        <v>0</v>
      </c>
      <c r="I36" s="567">
        <f>+I35+I34</f>
        <v>0</v>
      </c>
    </row>
    <row r="39" spans="1:9" ht="15.75">
      <c r="A39" s="649" t="s">
        <v>2604</v>
      </c>
      <c r="B39" s="649"/>
      <c r="C39" s="649"/>
      <c r="D39" s="649"/>
      <c r="E39" s="649"/>
      <c r="F39" s="649"/>
      <c r="G39" s="649"/>
      <c r="H39" s="649"/>
      <c r="I39" s="649"/>
    </row>
    <row r="40" spans="1:9">
      <c r="A40" s="650"/>
      <c r="B40" s="650"/>
      <c r="C40" s="650"/>
      <c r="D40" s="650"/>
      <c r="E40" s="650"/>
      <c r="F40" s="650"/>
      <c r="G40" s="650"/>
      <c r="H40" s="650"/>
      <c r="I40" s="650"/>
    </row>
    <row r="41" spans="1:9">
      <c r="A41" s="665" t="s">
        <v>2605</v>
      </c>
      <c r="B41" s="652"/>
      <c r="C41" s="652"/>
      <c r="D41" s="652"/>
      <c r="E41" s="652"/>
      <c r="F41" s="652"/>
      <c r="G41" s="652"/>
      <c r="H41" s="652"/>
      <c r="I41" s="652"/>
    </row>
    <row r="42" spans="1:9">
      <c r="A42" s="666" t="s">
        <v>2566</v>
      </c>
      <c r="B42" s="667"/>
      <c r="C42" s="668" t="s">
        <v>2579</v>
      </c>
      <c r="D42" s="668"/>
      <c r="E42" s="668"/>
      <c r="F42" s="668"/>
      <c r="G42" s="668"/>
      <c r="H42" s="669"/>
      <c r="I42" s="669"/>
    </row>
    <row r="43" spans="1:9">
      <c r="A43" s="661" t="s">
        <v>2608</v>
      </c>
      <c r="B43" s="662"/>
      <c r="C43" s="678" t="s">
        <v>2581</v>
      </c>
      <c r="D43" s="678"/>
      <c r="E43" s="678"/>
      <c r="F43" s="678"/>
      <c r="G43" s="678"/>
      <c r="H43" s="569" t="s">
        <v>2577</v>
      </c>
      <c r="I43" s="572">
        <f t="shared" ref="I43:I48" si="0">I6</f>
        <v>0</v>
      </c>
    </row>
    <row r="44" spans="1:9">
      <c r="A44" s="661" t="s">
        <v>2609</v>
      </c>
      <c r="B44" s="662"/>
      <c r="C44" s="678" t="s">
        <v>2583</v>
      </c>
      <c r="D44" s="678"/>
      <c r="E44" s="678"/>
      <c r="F44" s="678"/>
      <c r="G44" s="678"/>
      <c r="H44" s="569" t="s">
        <v>2577</v>
      </c>
      <c r="I44" s="572">
        <f t="shared" si="0"/>
        <v>0</v>
      </c>
    </row>
    <row r="45" spans="1:9">
      <c r="A45" s="661" t="s">
        <v>2572</v>
      </c>
      <c r="B45" s="662"/>
      <c r="C45" s="678" t="s">
        <v>2585</v>
      </c>
      <c r="D45" s="678"/>
      <c r="E45" s="678"/>
      <c r="F45" s="678"/>
      <c r="G45" s="678"/>
      <c r="H45" s="569" t="s">
        <v>2577</v>
      </c>
      <c r="I45" s="572">
        <f t="shared" si="0"/>
        <v>0</v>
      </c>
    </row>
    <row r="46" spans="1:9">
      <c r="A46" s="661" t="s">
        <v>2612</v>
      </c>
      <c r="B46" s="662"/>
      <c r="C46" s="678" t="s">
        <v>2587</v>
      </c>
      <c r="D46" s="678"/>
      <c r="E46" s="678"/>
      <c r="F46" s="678"/>
      <c r="G46" s="678"/>
      <c r="H46" s="569" t="s">
        <v>2577</v>
      </c>
      <c r="I46" s="572">
        <f t="shared" si="0"/>
        <v>0</v>
      </c>
    </row>
    <row r="47" spans="1:9">
      <c r="A47" s="661" t="s">
        <v>2613</v>
      </c>
      <c r="B47" s="662"/>
      <c r="C47" s="678" t="s">
        <v>2589</v>
      </c>
      <c r="D47" s="678"/>
      <c r="E47" s="678"/>
      <c r="F47" s="678"/>
      <c r="G47" s="678"/>
      <c r="H47" s="569" t="s">
        <v>2577</v>
      </c>
      <c r="I47" s="572">
        <f t="shared" si="0"/>
        <v>0</v>
      </c>
    </row>
    <row r="48" spans="1:9">
      <c r="A48" s="661" t="s">
        <v>2614</v>
      </c>
      <c r="B48" s="662"/>
      <c r="C48" s="678" t="s">
        <v>2591</v>
      </c>
      <c r="D48" s="678"/>
      <c r="E48" s="678"/>
      <c r="F48" s="678"/>
      <c r="G48" s="678"/>
      <c r="H48" s="569" t="s">
        <v>2577</v>
      </c>
      <c r="I48" s="572">
        <f t="shared" si="0"/>
        <v>0</v>
      </c>
    </row>
    <row r="49" spans="1:9">
      <c r="A49" s="679" t="s">
        <v>2578</v>
      </c>
      <c r="B49" s="680"/>
      <c r="C49" s="668" t="s">
        <v>2620</v>
      </c>
      <c r="D49" s="668"/>
      <c r="E49" s="668"/>
      <c r="F49" s="668"/>
      <c r="G49" s="668"/>
      <c r="H49" s="569" t="s">
        <v>2577</v>
      </c>
      <c r="I49" s="573"/>
    </row>
  </sheetData>
  <mergeCells count="56">
    <mergeCell ref="A49:B49"/>
    <mergeCell ref="C49:G49"/>
    <mergeCell ref="A46:B46"/>
    <mergeCell ref="C46:G46"/>
    <mergeCell ref="A47:B47"/>
    <mergeCell ref="C47:G47"/>
    <mergeCell ref="A48:B48"/>
    <mergeCell ref="C48:G48"/>
    <mergeCell ref="A43:B43"/>
    <mergeCell ref="C43:G43"/>
    <mergeCell ref="A44:B44"/>
    <mergeCell ref="C44:G44"/>
    <mergeCell ref="A45:B45"/>
    <mergeCell ref="C45:G45"/>
    <mergeCell ref="A36:G36"/>
    <mergeCell ref="A39:I39"/>
    <mergeCell ref="A40:I40"/>
    <mergeCell ref="A41:I41"/>
    <mergeCell ref="A42:B42"/>
    <mergeCell ref="C42:I42"/>
    <mergeCell ref="A35:G35"/>
    <mergeCell ref="A27:I27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26:E26"/>
    <mergeCell ref="A16:I16"/>
    <mergeCell ref="A17:I17"/>
    <mergeCell ref="A18:I18"/>
    <mergeCell ref="A21:I21"/>
    <mergeCell ref="A22:I22"/>
    <mergeCell ref="A23:I23"/>
    <mergeCell ref="A24:E24"/>
    <mergeCell ref="F24:I24"/>
    <mergeCell ref="A25:C25"/>
    <mergeCell ref="D25:E25"/>
    <mergeCell ref="F25:G25"/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</mergeCells>
  <conditionalFormatting sqref="A21:I36 A39:I49">
    <cfRule type="cellIs" dxfId="24" priority="5" operator="equal">
      <formula>0</formula>
    </cfRule>
  </conditionalFormatting>
  <conditionalFormatting sqref="H31:I31 H35:I35 A1:AA2">
    <cfRule type="cellIs" dxfId="23" priority="3" operator="equal">
      <formula>#DIV/0!</formula>
    </cfRule>
    <cfRule type="cellIs" dxfId="22" priority="4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Y95"/>
  <sheetViews>
    <sheetView topLeftCell="D22" workbookViewId="0">
      <selection activeCell="S23" sqref="S23"/>
    </sheetView>
  </sheetViews>
  <sheetFormatPr defaultRowHeight="15"/>
  <cols>
    <col min="1" max="2" width="9.140625" style="552"/>
    <col min="3" max="3" width="8.85546875" style="552" customWidth="1"/>
    <col min="4" max="4" width="31.28515625" style="552" customWidth="1"/>
    <col min="5" max="5" width="8.85546875" style="552" customWidth="1"/>
    <col min="6" max="6" width="9.42578125" style="552" customWidth="1"/>
    <col min="7" max="7" width="11.85546875" style="552" customWidth="1"/>
    <col min="8" max="8" width="11" style="552" customWidth="1"/>
    <col min="9" max="9" width="15.7109375" style="552" customWidth="1"/>
    <col min="10" max="16384" width="9.140625" style="552"/>
  </cols>
  <sheetData>
    <row r="1" spans="1:25">
      <c r="A1" s="551" t="s">
        <v>2560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</row>
    <row r="2" spans="1:25">
      <c r="A2" s="551" t="s">
        <v>2561</v>
      </c>
      <c r="B2" s="551"/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</row>
    <row r="4" spans="1:25" ht="25.15" customHeight="1">
      <c r="A4" s="553" t="s">
        <v>3447</v>
      </c>
      <c r="B4" s="646" t="s">
        <v>2602</v>
      </c>
      <c r="C4" s="646"/>
      <c r="D4" s="646"/>
      <c r="E4" s="646"/>
      <c r="F4" s="646"/>
      <c r="G4" s="553" t="s">
        <v>1326</v>
      </c>
      <c r="H4" s="553" t="s">
        <v>2564</v>
      </c>
      <c r="I4" s="553" t="s">
        <v>3448</v>
      </c>
    </row>
    <row r="5" spans="1:25" ht="14.45" customHeight="1">
      <c r="A5" s="554">
        <v>1</v>
      </c>
      <c r="B5" s="782" t="s">
        <v>2567</v>
      </c>
      <c r="C5" s="782"/>
      <c r="D5" s="782"/>
      <c r="E5" s="782"/>
      <c r="F5" s="782"/>
      <c r="G5" s="783"/>
      <c r="H5" s="783"/>
      <c r="I5" s="781">
        <f>SUM(I6:I9)</f>
        <v>2843.0410000000002</v>
      </c>
    </row>
    <row r="6" spans="1:25" ht="27" customHeight="1">
      <c r="A6" s="555" t="s">
        <v>2568</v>
      </c>
      <c r="B6" s="648" t="s">
        <v>2569</v>
      </c>
      <c r="C6" s="648"/>
      <c r="D6" s="648"/>
      <c r="E6" s="648"/>
      <c r="F6" s="648"/>
      <c r="G6" s="555">
        <v>0.4</v>
      </c>
      <c r="H6" s="554">
        <v>578.86249999999995</v>
      </c>
      <c r="I6" s="556">
        <v>231.54499999999999</v>
      </c>
    </row>
    <row r="7" spans="1:25" ht="24.6" customHeight="1">
      <c r="A7" s="555" t="s">
        <v>2570</v>
      </c>
      <c r="B7" s="648" t="s">
        <v>2571</v>
      </c>
      <c r="C7" s="648"/>
      <c r="D7" s="648"/>
      <c r="E7" s="648"/>
      <c r="F7" s="648"/>
      <c r="G7" s="555">
        <v>0.4</v>
      </c>
      <c r="H7" s="554">
        <v>1010.66</v>
      </c>
      <c r="I7" s="556">
        <v>404.26400000000001</v>
      </c>
    </row>
    <row r="8" spans="1:25" ht="19.149999999999999" customHeight="1">
      <c r="A8" s="555" t="s">
        <v>2572</v>
      </c>
      <c r="B8" s="648" t="s">
        <v>2573</v>
      </c>
      <c r="C8" s="648"/>
      <c r="D8" s="648"/>
      <c r="E8" s="648"/>
      <c r="F8" s="648"/>
      <c r="G8" s="555">
        <v>161</v>
      </c>
      <c r="H8" s="554">
        <v>8.1854161490683204</v>
      </c>
      <c r="I8" s="556">
        <v>1317.8520000000001</v>
      </c>
    </row>
    <row r="9" spans="1:25" ht="18" customHeight="1">
      <c r="A9" s="555" t="s">
        <v>2575</v>
      </c>
      <c r="B9" s="648" t="s">
        <v>2576</v>
      </c>
      <c r="C9" s="648"/>
      <c r="D9" s="648"/>
      <c r="E9" s="648"/>
      <c r="F9" s="648"/>
      <c r="G9" s="555">
        <v>8</v>
      </c>
      <c r="H9" s="554">
        <v>111.1725</v>
      </c>
      <c r="I9" s="556">
        <v>889.38</v>
      </c>
    </row>
    <row r="10" spans="1:25">
      <c r="A10" s="554">
        <v>2</v>
      </c>
      <c r="B10" s="782" t="s">
        <v>2579</v>
      </c>
      <c r="C10" s="782"/>
      <c r="D10" s="782"/>
      <c r="E10" s="782"/>
      <c r="F10" s="782"/>
      <c r="G10" s="783"/>
      <c r="H10" s="783"/>
      <c r="I10" s="783">
        <f>SUM(I11:I16)</f>
        <v>7583.8580000000002</v>
      </c>
    </row>
    <row r="11" spans="1:25" ht="22.9" customHeight="1">
      <c r="A11" s="555" t="s">
        <v>2580</v>
      </c>
      <c r="B11" s="648" t="s">
        <v>2581</v>
      </c>
      <c r="C11" s="648"/>
      <c r="D11" s="648"/>
      <c r="E11" s="648"/>
      <c r="F11" s="648"/>
      <c r="G11" s="555">
        <v>140</v>
      </c>
      <c r="H11" s="554">
        <v>4.0987999999999998</v>
      </c>
      <c r="I11" s="556">
        <v>573.83199999999999</v>
      </c>
    </row>
    <row r="12" spans="1:25" ht="30" customHeight="1">
      <c r="A12" s="555" t="s">
        <v>2582</v>
      </c>
      <c r="B12" s="648" t="s">
        <v>2583</v>
      </c>
      <c r="C12" s="648"/>
      <c r="D12" s="648"/>
      <c r="E12" s="648"/>
      <c r="F12" s="648"/>
      <c r="G12" s="555">
        <v>140</v>
      </c>
      <c r="H12" s="554">
        <v>5.3216785714285697</v>
      </c>
      <c r="I12" s="556">
        <v>745.03499999999997</v>
      </c>
    </row>
    <row r="13" spans="1:25" ht="31.9" customHeight="1">
      <c r="A13" s="555" t="s">
        <v>2584</v>
      </c>
      <c r="B13" s="648" t="s">
        <v>2585</v>
      </c>
      <c r="C13" s="648"/>
      <c r="D13" s="648"/>
      <c r="E13" s="648"/>
      <c r="F13" s="648"/>
      <c r="G13" s="555">
        <v>140</v>
      </c>
      <c r="H13" s="554">
        <v>5.0278499999999999</v>
      </c>
      <c r="I13" s="556">
        <v>703.899</v>
      </c>
    </row>
    <row r="14" spans="1:25" ht="28.15" customHeight="1">
      <c r="A14" s="555" t="s">
        <v>2586</v>
      </c>
      <c r="B14" s="648" t="s">
        <v>2587</v>
      </c>
      <c r="C14" s="648"/>
      <c r="D14" s="648"/>
      <c r="E14" s="648"/>
      <c r="F14" s="648"/>
      <c r="G14" s="555">
        <v>140</v>
      </c>
      <c r="H14" s="554">
        <v>21.211178571428601</v>
      </c>
      <c r="I14" s="556">
        <v>2969.5650000000001</v>
      </c>
    </row>
    <row r="15" spans="1:25" ht="22.15" customHeight="1">
      <c r="A15" s="555" t="s">
        <v>2588</v>
      </c>
      <c r="B15" s="648" t="s">
        <v>2589</v>
      </c>
      <c r="C15" s="648"/>
      <c r="D15" s="648"/>
      <c r="E15" s="648"/>
      <c r="F15" s="648"/>
      <c r="G15" s="555">
        <v>140</v>
      </c>
      <c r="H15" s="554">
        <v>5.2832785714285704</v>
      </c>
      <c r="I15" s="556">
        <v>739.65899999999999</v>
      </c>
    </row>
    <row r="16" spans="1:25" ht="19.149999999999999" customHeight="1">
      <c r="A16" s="555" t="s">
        <v>2590</v>
      </c>
      <c r="B16" s="648" t="s">
        <v>2591</v>
      </c>
      <c r="C16" s="648"/>
      <c r="D16" s="648"/>
      <c r="E16" s="648"/>
      <c r="F16" s="648"/>
      <c r="G16" s="555">
        <v>36</v>
      </c>
      <c r="H16" s="554">
        <v>51.440777777777797</v>
      </c>
      <c r="I16" s="556">
        <v>1851.8679999999999</v>
      </c>
    </row>
    <row r="17" spans="1:14">
      <c r="A17" s="785" t="s">
        <v>2592</v>
      </c>
      <c r="B17" s="786"/>
      <c r="C17" s="786"/>
      <c r="D17" s="786"/>
      <c r="E17" s="786"/>
      <c r="F17" s="786"/>
      <c r="G17" s="786"/>
      <c r="H17" s="784">
        <f>I17/G11</f>
        <v>74.477850000000004</v>
      </c>
      <c r="I17" s="557">
        <f>I5+I10</f>
        <v>10426.899000000001</v>
      </c>
    </row>
    <row r="18" spans="1:14">
      <c r="A18" s="644" t="s">
        <v>1634</v>
      </c>
      <c r="B18" s="645"/>
      <c r="C18" s="645"/>
      <c r="D18" s="645"/>
      <c r="E18" s="645"/>
      <c r="F18" s="645"/>
      <c r="G18" s="645"/>
      <c r="H18" s="645"/>
      <c r="I18" s="557">
        <v>0</v>
      </c>
    </row>
    <row r="19" spans="1:14">
      <c r="A19" s="644" t="s">
        <v>2593</v>
      </c>
      <c r="B19" s="645"/>
      <c r="C19" s="645"/>
      <c r="D19" s="645"/>
      <c r="E19" s="645"/>
      <c r="F19" s="645"/>
      <c r="G19" s="645"/>
      <c r="H19" s="645"/>
      <c r="I19" s="557">
        <v>10426.898999999999</v>
      </c>
    </row>
    <row r="20" spans="1:14" ht="25.9" customHeight="1">
      <c r="A20" s="558">
        <v>3</v>
      </c>
      <c r="B20" s="683" t="s">
        <v>2595</v>
      </c>
      <c r="C20" s="683"/>
      <c r="D20" s="683"/>
      <c r="E20" s="683"/>
      <c r="F20" s="683"/>
      <c r="G20" s="559"/>
      <c r="H20" s="558"/>
      <c r="I20" s="560"/>
    </row>
    <row r="21" spans="1:14">
      <c r="A21" s="681" t="s">
        <v>2596</v>
      </c>
      <c r="B21" s="682"/>
      <c r="C21" s="682"/>
      <c r="D21" s="682"/>
      <c r="E21" s="682"/>
      <c r="F21" s="682"/>
      <c r="G21" s="682"/>
      <c r="H21" s="682"/>
      <c r="I21" s="561"/>
    </row>
    <row r="22" spans="1:14">
      <c r="A22" s="681" t="s">
        <v>1634</v>
      </c>
      <c r="B22" s="682"/>
      <c r="C22" s="682"/>
      <c r="D22" s="682"/>
      <c r="E22" s="682"/>
      <c r="F22" s="682"/>
      <c r="G22" s="682"/>
      <c r="H22" s="682"/>
      <c r="I22" s="561"/>
    </row>
    <row r="23" spans="1:14">
      <c r="A23" s="681" t="s">
        <v>2597</v>
      </c>
      <c r="B23" s="682"/>
      <c r="C23" s="682"/>
      <c r="D23" s="682"/>
      <c r="E23" s="682"/>
      <c r="F23" s="682"/>
      <c r="G23" s="682"/>
      <c r="H23" s="682"/>
      <c r="I23" s="561"/>
    </row>
    <row r="24" spans="1:14" ht="29.25" customHeight="1"/>
    <row r="25" spans="1:14">
      <c r="A25" s="593"/>
      <c r="B25" s="593"/>
      <c r="C25" s="593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</row>
    <row r="26" spans="1:14" ht="15.75">
      <c r="A26" s="590" t="s">
        <v>2598</v>
      </c>
      <c r="B26" s="590"/>
      <c r="C26" s="590"/>
      <c r="D26" s="590"/>
      <c r="E26" s="590"/>
      <c r="F26" s="590"/>
      <c r="G26" s="590"/>
      <c r="H26" s="590"/>
      <c r="I26" s="593"/>
      <c r="J26" s="593"/>
      <c r="K26" s="593"/>
      <c r="L26" s="593"/>
      <c r="M26" s="593"/>
      <c r="N26" s="593"/>
    </row>
    <row r="27" spans="1:14">
      <c r="A27" s="591" t="s">
        <v>2599</v>
      </c>
      <c r="B27" s="591"/>
      <c r="C27" s="591"/>
      <c r="D27" s="591"/>
      <c r="E27" s="591"/>
      <c r="F27" s="591"/>
      <c r="G27" s="591"/>
      <c r="H27" s="591"/>
      <c r="I27" s="593"/>
      <c r="J27" s="593"/>
      <c r="K27" s="593"/>
      <c r="L27" s="593"/>
      <c r="M27" s="593"/>
      <c r="N27" s="593"/>
    </row>
    <row r="28" spans="1:14">
      <c r="A28" s="592"/>
      <c r="B28" s="592"/>
      <c r="C28" s="592"/>
      <c r="D28" s="592"/>
      <c r="E28" s="592"/>
      <c r="F28" s="592"/>
      <c r="G28" s="592"/>
      <c r="H28" s="592"/>
      <c r="I28" s="593"/>
      <c r="J28" s="593"/>
      <c r="K28" s="593"/>
      <c r="L28" s="593"/>
      <c r="M28" s="593"/>
      <c r="N28" s="593"/>
    </row>
    <row r="29" spans="1:14">
      <c r="A29" s="592" t="s">
        <v>10</v>
      </c>
      <c r="B29" s="593"/>
      <c r="C29" s="593"/>
      <c r="D29" s="593"/>
      <c r="E29" s="594"/>
      <c r="F29" s="594"/>
      <c r="G29" s="594"/>
      <c r="H29" s="594"/>
      <c r="I29" s="593"/>
      <c r="J29" s="593"/>
      <c r="K29" s="593"/>
      <c r="L29" s="593"/>
      <c r="M29" s="593"/>
      <c r="N29" s="593"/>
    </row>
    <row r="30" spans="1:14">
      <c r="A30" s="592" t="s">
        <v>2600</v>
      </c>
      <c r="B30" s="592"/>
      <c r="C30" s="594">
        <f>+[11]кошторис!D26</f>
        <v>0</v>
      </c>
      <c r="D30" s="594"/>
      <c r="E30" s="595"/>
      <c r="F30" s="595"/>
      <c r="G30" s="562"/>
      <c r="H30" s="594"/>
      <c r="I30" s="593"/>
      <c r="J30" s="593"/>
      <c r="K30" s="593"/>
      <c r="L30" s="593"/>
      <c r="M30" s="593"/>
      <c r="N30" s="593"/>
    </row>
    <row r="31" spans="1:14">
      <c r="A31" s="592" t="s">
        <v>2601</v>
      </c>
      <c r="B31" s="592"/>
      <c r="C31" s="592"/>
      <c r="D31" s="592"/>
      <c r="E31" s="562"/>
      <c r="F31" s="594"/>
      <c r="G31" s="594"/>
      <c r="H31" s="564"/>
      <c r="I31" s="593"/>
      <c r="J31" s="593"/>
      <c r="K31" s="593"/>
      <c r="L31" s="593"/>
      <c r="M31" s="593"/>
      <c r="N31" s="593"/>
    </row>
    <row r="32" spans="1:14">
      <c r="A32" s="592"/>
      <c r="B32" s="592"/>
      <c r="C32" s="592"/>
      <c r="D32" s="592"/>
      <c r="E32" s="592"/>
      <c r="F32" s="592"/>
      <c r="G32" s="592"/>
      <c r="H32" s="592"/>
      <c r="I32" s="593"/>
      <c r="J32" s="593"/>
      <c r="K32" s="593"/>
      <c r="L32" s="593"/>
      <c r="M32" s="593"/>
      <c r="N32" s="593"/>
    </row>
    <row r="33" spans="1:14">
      <c r="A33" s="611" t="s">
        <v>1323</v>
      </c>
      <c r="B33" s="611" t="s">
        <v>2602</v>
      </c>
      <c r="C33" s="611"/>
      <c r="D33" s="611"/>
      <c r="E33" s="611" t="s">
        <v>2563</v>
      </c>
      <c r="F33" s="611" t="s">
        <v>1326</v>
      </c>
      <c r="G33" s="611" t="s">
        <v>2564</v>
      </c>
      <c r="H33" s="611" t="s">
        <v>2565</v>
      </c>
      <c r="I33" s="593"/>
      <c r="J33" s="593" t="s">
        <v>2623</v>
      </c>
      <c r="K33" s="593"/>
      <c r="L33" s="593"/>
      <c r="M33" s="593"/>
      <c r="N33" s="593"/>
    </row>
    <row r="34" spans="1:14" ht="32.450000000000003" customHeight="1">
      <c r="A34" s="602" t="s">
        <v>2566</v>
      </c>
      <c r="B34" s="612" t="s">
        <v>2567</v>
      </c>
      <c r="C34" s="612"/>
      <c r="D34" s="612"/>
      <c r="E34" s="613" t="s">
        <v>2577</v>
      </c>
      <c r="F34" s="614">
        <f>H11</f>
        <v>4.0987999999999998</v>
      </c>
      <c r="G34" s="615">
        <f>+(H34+H35)/F34</f>
        <v>2543.8906509222215</v>
      </c>
      <c r="H34" s="616">
        <f>I5</f>
        <v>2843.0410000000002</v>
      </c>
      <c r="I34" s="593"/>
      <c r="J34" s="593" t="s">
        <v>2624</v>
      </c>
      <c r="K34" s="593"/>
      <c r="L34" s="593"/>
      <c r="M34" s="593"/>
      <c r="N34" s="593"/>
    </row>
    <row r="35" spans="1:14">
      <c r="A35" s="596" t="s">
        <v>2578</v>
      </c>
      <c r="B35" s="617" t="s">
        <v>2579</v>
      </c>
      <c r="C35" s="617"/>
      <c r="D35" s="617"/>
      <c r="E35" s="618"/>
      <c r="F35" s="618"/>
      <c r="G35" s="619"/>
      <c r="H35" s="616">
        <f>I10</f>
        <v>7583.8580000000002</v>
      </c>
      <c r="I35" s="593"/>
      <c r="J35" s="593"/>
      <c r="K35" s="593"/>
      <c r="L35" s="593"/>
      <c r="M35" s="593"/>
      <c r="N35" s="593"/>
    </row>
    <row r="36" spans="1:14">
      <c r="A36" s="620" t="s">
        <v>2592</v>
      </c>
      <c r="B36" s="621"/>
      <c r="C36" s="621"/>
      <c r="D36" s="621"/>
      <c r="E36" s="621"/>
      <c r="F36" s="621"/>
      <c r="G36" s="622">
        <f>+H36/F34</f>
        <v>2543.8906509222215</v>
      </c>
      <c r="H36" s="622">
        <f>SUM(H34:H35)</f>
        <v>10426.899000000001</v>
      </c>
      <c r="I36" s="593"/>
      <c r="J36" s="593"/>
      <c r="K36" s="593"/>
      <c r="L36" s="593"/>
      <c r="M36" s="593"/>
      <c r="N36" s="593"/>
    </row>
    <row r="37" spans="1:14">
      <c r="A37" s="620" t="s">
        <v>1634</v>
      </c>
      <c r="B37" s="621"/>
      <c r="C37" s="621"/>
      <c r="D37" s="621"/>
      <c r="E37" s="621"/>
      <c r="F37" s="621"/>
      <c r="G37" s="622"/>
      <c r="H37" s="622"/>
      <c r="I37" s="593"/>
      <c r="J37" s="593"/>
      <c r="K37" s="593"/>
      <c r="L37" s="593"/>
      <c r="M37" s="593"/>
      <c r="N37" s="593"/>
    </row>
    <row r="38" spans="1:14">
      <c r="A38" s="620" t="s">
        <v>2593</v>
      </c>
      <c r="B38" s="621"/>
      <c r="C38" s="621"/>
      <c r="D38" s="621"/>
      <c r="E38" s="621"/>
      <c r="F38" s="621"/>
      <c r="G38" s="622">
        <f>+G37+G36</f>
        <v>2543.8906509222215</v>
      </c>
      <c r="H38" s="622">
        <f>+H37+H36</f>
        <v>10426.899000000001</v>
      </c>
      <c r="I38" s="593"/>
      <c r="J38" s="593"/>
      <c r="K38" s="593"/>
      <c r="L38" s="593"/>
      <c r="M38" s="593"/>
      <c r="N38" s="593"/>
    </row>
    <row r="39" spans="1:14" ht="31.15" customHeight="1">
      <c r="A39" s="596" t="s">
        <v>2594</v>
      </c>
      <c r="B39" s="617" t="s">
        <v>2603</v>
      </c>
      <c r="C39" s="617"/>
      <c r="D39" s="617"/>
      <c r="E39" s="623" t="s">
        <v>2577</v>
      </c>
      <c r="F39" s="623"/>
      <c r="G39" s="616">
        <f>+[11]кошторис!V46</f>
        <v>0</v>
      </c>
      <c r="H39" s="616">
        <f>+[11]кошторис!Z46</f>
        <v>0</v>
      </c>
      <c r="I39" s="593"/>
      <c r="J39" s="593"/>
      <c r="K39" s="593"/>
      <c r="L39" s="593"/>
      <c r="M39" s="593"/>
      <c r="N39" s="593"/>
    </row>
    <row r="40" spans="1:14">
      <c r="A40" s="620" t="s">
        <v>2596</v>
      </c>
      <c r="B40" s="621"/>
      <c r="C40" s="621"/>
      <c r="D40" s="621"/>
      <c r="E40" s="621"/>
      <c r="F40" s="621"/>
      <c r="G40" s="622"/>
      <c r="H40" s="622">
        <f>+H39</f>
        <v>0</v>
      </c>
      <c r="I40" s="593"/>
      <c r="J40" s="593"/>
      <c r="K40" s="593"/>
      <c r="L40" s="593"/>
      <c r="M40" s="593"/>
      <c r="N40" s="593"/>
    </row>
    <row r="41" spans="1:14">
      <c r="A41" s="620" t="s">
        <v>1634</v>
      </c>
      <c r="B41" s="621"/>
      <c r="C41" s="621"/>
      <c r="D41" s="621"/>
      <c r="E41" s="621"/>
      <c r="F41" s="621"/>
      <c r="G41" s="622"/>
      <c r="H41" s="622"/>
      <c r="I41" s="593"/>
      <c r="J41" s="593"/>
      <c r="K41" s="593"/>
      <c r="L41" s="593"/>
      <c r="M41" s="593"/>
      <c r="N41" s="593"/>
    </row>
    <row r="42" spans="1:14">
      <c r="A42" s="620" t="s">
        <v>2597</v>
      </c>
      <c r="B42" s="621"/>
      <c r="C42" s="621"/>
      <c r="D42" s="621"/>
      <c r="E42" s="621"/>
      <c r="F42" s="621"/>
      <c r="G42" s="622">
        <f>+G41+G40</f>
        <v>0</v>
      </c>
      <c r="H42" s="622">
        <f>+H41+H40</f>
        <v>0</v>
      </c>
      <c r="I42" s="593"/>
      <c r="J42" s="593"/>
      <c r="K42" s="593"/>
      <c r="L42" s="593"/>
      <c r="M42" s="593"/>
      <c r="N42" s="593"/>
    </row>
    <row r="43" spans="1:14">
      <c r="A43" s="593"/>
      <c r="B43" s="593"/>
      <c r="C43" s="593"/>
      <c r="D43" s="593"/>
      <c r="E43" s="593"/>
      <c r="F43" s="593"/>
      <c r="G43" s="593"/>
      <c r="H43" s="593"/>
      <c r="I43" s="593"/>
      <c r="J43" s="593"/>
      <c r="K43" s="593"/>
      <c r="L43" s="593"/>
      <c r="M43" s="593"/>
      <c r="N43" s="593"/>
    </row>
    <row r="44" spans="1:14">
      <c r="A44" s="593"/>
      <c r="B44" s="593"/>
      <c r="C44" s="593"/>
      <c r="D44" s="593"/>
      <c r="E44" s="593"/>
      <c r="F44" s="593"/>
      <c r="G44" s="593"/>
      <c r="H44" s="593"/>
      <c r="I44" s="593"/>
      <c r="J44" s="593"/>
      <c r="K44" s="593"/>
      <c r="L44" s="593"/>
      <c r="M44" s="593"/>
      <c r="N44" s="593"/>
    </row>
    <row r="45" spans="1:14" ht="15.75">
      <c r="A45" s="590" t="s">
        <v>2604</v>
      </c>
      <c r="B45" s="590"/>
      <c r="C45" s="590"/>
      <c r="D45" s="590"/>
      <c r="E45" s="590"/>
      <c r="F45" s="590"/>
      <c r="G45" s="590"/>
      <c r="H45" s="590"/>
      <c r="I45" s="593"/>
      <c r="J45" s="593"/>
      <c r="K45" s="593"/>
      <c r="L45" s="593"/>
      <c r="M45" s="593"/>
      <c r="N45" s="593"/>
    </row>
    <row r="46" spans="1:14">
      <c r="A46" s="591"/>
      <c r="B46" s="591"/>
      <c r="C46" s="591"/>
      <c r="D46" s="591"/>
      <c r="E46" s="591"/>
      <c r="F46" s="591"/>
      <c r="G46" s="591"/>
      <c r="H46" s="591"/>
      <c r="I46" s="593"/>
      <c r="J46" s="593"/>
      <c r="K46" s="593"/>
      <c r="L46" s="593"/>
      <c r="M46" s="593"/>
      <c r="N46" s="593"/>
    </row>
    <row r="47" spans="1:14">
      <c r="A47" s="597" t="s">
        <v>2605</v>
      </c>
      <c r="B47" s="593"/>
      <c r="C47" s="593"/>
      <c r="D47" s="593"/>
      <c r="E47" s="593"/>
      <c r="F47" s="593"/>
      <c r="G47" s="593"/>
      <c r="H47" s="593"/>
      <c r="I47" s="593"/>
      <c r="J47" s="593"/>
      <c r="K47" s="593"/>
      <c r="L47" s="593"/>
      <c r="M47" s="593"/>
      <c r="N47" s="593"/>
    </row>
    <row r="48" spans="1:14">
      <c r="A48" s="598" t="s">
        <v>2566</v>
      </c>
      <c r="B48" s="599" t="s">
        <v>2567</v>
      </c>
      <c r="C48" s="599"/>
      <c r="D48" s="599"/>
      <c r="E48" s="599"/>
      <c r="F48" s="599"/>
      <c r="G48" s="600"/>
      <c r="H48" s="600"/>
      <c r="I48" s="593"/>
      <c r="J48" s="593" t="s">
        <v>2624</v>
      </c>
      <c r="K48" s="593"/>
      <c r="L48" s="593"/>
      <c r="M48" s="593"/>
      <c r="N48" s="593"/>
    </row>
    <row r="49" spans="1:14">
      <c r="A49" s="603" t="s">
        <v>2568</v>
      </c>
      <c r="B49" s="601" t="s">
        <v>2569</v>
      </c>
      <c r="C49" s="601"/>
      <c r="D49" s="601"/>
      <c r="E49" s="601"/>
      <c r="F49" s="601"/>
      <c r="G49" s="603" t="s">
        <v>1355</v>
      </c>
      <c r="H49" s="570">
        <f>H6</f>
        <v>578.86249999999995</v>
      </c>
      <c r="I49" s="593"/>
      <c r="J49" s="593"/>
      <c r="K49" s="593"/>
      <c r="L49" s="593"/>
      <c r="M49" s="593"/>
      <c r="N49" s="593"/>
    </row>
    <row r="50" spans="1:14">
      <c r="A50" s="603" t="s">
        <v>2570</v>
      </c>
      <c r="B50" s="601" t="s">
        <v>2571</v>
      </c>
      <c r="C50" s="601"/>
      <c r="D50" s="601"/>
      <c r="E50" s="601"/>
      <c r="F50" s="601"/>
      <c r="G50" s="603" t="s">
        <v>1355</v>
      </c>
      <c r="H50" s="570">
        <f>H7</f>
        <v>1010.66</v>
      </c>
      <c r="I50" s="593"/>
      <c r="J50" s="593"/>
      <c r="K50" s="593"/>
      <c r="L50" s="593"/>
      <c r="M50" s="593"/>
      <c r="N50" s="593"/>
    </row>
    <row r="51" spans="1:14">
      <c r="A51" s="603" t="s">
        <v>2572</v>
      </c>
      <c r="B51" s="601" t="s">
        <v>2573</v>
      </c>
      <c r="C51" s="601"/>
      <c r="D51" s="601"/>
      <c r="E51" s="601"/>
      <c r="F51" s="601"/>
      <c r="G51" s="603" t="s">
        <v>2574</v>
      </c>
      <c r="H51" s="571">
        <f>H8</f>
        <v>8.1854161490683204</v>
      </c>
      <c r="I51" s="593"/>
      <c r="J51" s="593"/>
      <c r="K51" s="593"/>
      <c r="L51" s="593"/>
      <c r="M51" s="593"/>
      <c r="N51" s="593"/>
    </row>
    <row r="52" spans="1:14">
      <c r="A52" s="603" t="s">
        <v>2575</v>
      </c>
      <c r="B52" s="601" t="s">
        <v>2606</v>
      </c>
      <c r="C52" s="601"/>
      <c r="D52" s="601"/>
      <c r="E52" s="601"/>
      <c r="F52" s="601"/>
      <c r="G52" s="603" t="s">
        <v>2577</v>
      </c>
      <c r="H52" s="571">
        <f>H9</f>
        <v>111.1725</v>
      </c>
      <c r="I52" s="593"/>
      <c r="J52" s="593"/>
      <c r="K52" s="593"/>
      <c r="L52" s="593"/>
      <c r="M52" s="593"/>
      <c r="N52" s="593"/>
    </row>
    <row r="53" spans="1:14">
      <c r="A53" s="598" t="s">
        <v>2578</v>
      </c>
      <c r="B53" s="599" t="s">
        <v>2579</v>
      </c>
      <c r="C53" s="599"/>
      <c r="D53" s="599"/>
      <c r="E53" s="599"/>
      <c r="F53" s="599"/>
      <c r="G53" s="600"/>
      <c r="H53" s="600"/>
      <c r="I53" s="593"/>
      <c r="J53" s="593"/>
      <c r="K53" s="593"/>
      <c r="L53" s="593"/>
      <c r="M53" s="593"/>
      <c r="N53" s="593"/>
    </row>
    <row r="54" spans="1:14">
      <c r="A54" s="603" t="s">
        <v>2580</v>
      </c>
      <c r="B54" s="601" t="s">
        <v>2581</v>
      </c>
      <c r="C54" s="601"/>
      <c r="D54" s="601"/>
      <c r="E54" s="601"/>
      <c r="F54" s="601"/>
      <c r="G54" s="603" t="s">
        <v>2577</v>
      </c>
      <c r="H54" s="572">
        <f t="shared" ref="H54:H59" si="0">H11</f>
        <v>4.0987999999999998</v>
      </c>
      <c r="I54" s="593"/>
      <c r="J54" s="593"/>
      <c r="K54" s="593"/>
      <c r="L54" s="593"/>
      <c r="M54" s="593"/>
      <c r="N54" s="593"/>
    </row>
    <row r="55" spans="1:14">
      <c r="A55" s="603" t="s">
        <v>2582</v>
      </c>
      <c r="B55" s="601" t="s">
        <v>2583</v>
      </c>
      <c r="C55" s="601"/>
      <c r="D55" s="601"/>
      <c r="E55" s="601"/>
      <c r="F55" s="601"/>
      <c r="G55" s="603" t="s">
        <v>2577</v>
      </c>
      <c r="H55" s="572">
        <f t="shared" si="0"/>
        <v>5.3216785714285697</v>
      </c>
      <c r="I55" s="593"/>
      <c r="J55" s="593"/>
      <c r="K55" s="593"/>
      <c r="L55" s="593"/>
      <c r="M55" s="593"/>
      <c r="N55" s="593"/>
    </row>
    <row r="56" spans="1:14">
      <c r="A56" s="603" t="s">
        <v>2584</v>
      </c>
      <c r="B56" s="601" t="s">
        <v>2585</v>
      </c>
      <c r="C56" s="601"/>
      <c r="D56" s="601"/>
      <c r="E56" s="601"/>
      <c r="F56" s="601"/>
      <c r="G56" s="603" t="s">
        <v>2577</v>
      </c>
      <c r="H56" s="572">
        <f t="shared" si="0"/>
        <v>5.0278499999999999</v>
      </c>
      <c r="I56" s="593"/>
      <c r="J56" s="593"/>
      <c r="K56" s="593"/>
      <c r="L56" s="593"/>
      <c r="M56" s="593"/>
      <c r="N56" s="593"/>
    </row>
    <row r="57" spans="1:14">
      <c r="A57" s="603" t="s">
        <v>2586</v>
      </c>
      <c r="B57" s="601" t="s">
        <v>2587</v>
      </c>
      <c r="C57" s="601"/>
      <c r="D57" s="601"/>
      <c r="E57" s="601"/>
      <c r="F57" s="601"/>
      <c r="G57" s="603" t="s">
        <v>2577</v>
      </c>
      <c r="H57" s="572">
        <f t="shared" si="0"/>
        <v>21.211178571428601</v>
      </c>
      <c r="I57" s="593"/>
      <c r="J57" s="593"/>
      <c r="K57" s="593"/>
      <c r="L57" s="593"/>
      <c r="M57" s="593"/>
      <c r="N57" s="593"/>
    </row>
    <row r="58" spans="1:14">
      <c r="A58" s="603" t="s">
        <v>2588</v>
      </c>
      <c r="B58" s="601" t="s">
        <v>2589</v>
      </c>
      <c r="C58" s="601"/>
      <c r="D58" s="601"/>
      <c r="E58" s="601"/>
      <c r="F58" s="601"/>
      <c r="G58" s="603" t="s">
        <v>2577</v>
      </c>
      <c r="H58" s="572">
        <f t="shared" si="0"/>
        <v>5.2832785714285704</v>
      </c>
      <c r="I58" s="593"/>
      <c r="J58" s="593"/>
      <c r="K58" s="593"/>
      <c r="L58" s="593"/>
      <c r="M58" s="593"/>
      <c r="N58" s="593"/>
    </row>
    <row r="59" spans="1:14">
      <c r="A59" s="603" t="s">
        <v>2590</v>
      </c>
      <c r="B59" s="601" t="s">
        <v>2591</v>
      </c>
      <c r="C59" s="601"/>
      <c r="D59" s="601"/>
      <c r="E59" s="601"/>
      <c r="F59" s="601"/>
      <c r="G59" s="603" t="s">
        <v>2577</v>
      </c>
      <c r="H59" s="572">
        <f t="shared" si="0"/>
        <v>51.440777777777797</v>
      </c>
      <c r="I59" s="593"/>
      <c r="J59" s="593"/>
      <c r="K59" s="593"/>
      <c r="L59" s="593"/>
      <c r="M59" s="593"/>
      <c r="N59" s="593"/>
    </row>
    <row r="60" spans="1:14">
      <c r="A60" s="598" t="s">
        <v>2594</v>
      </c>
      <c r="B60" s="599" t="s">
        <v>2607</v>
      </c>
      <c r="C60" s="599"/>
      <c r="D60" s="599"/>
      <c r="E60" s="599"/>
      <c r="F60" s="599"/>
      <c r="G60" s="603" t="s">
        <v>2577</v>
      </c>
      <c r="H60" s="573"/>
      <c r="I60" s="593"/>
      <c r="J60" s="593"/>
      <c r="K60" s="593"/>
      <c r="L60" s="593"/>
      <c r="M60" s="593"/>
      <c r="N60" s="593"/>
    </row>
    <row r="61" spans="1:14">
      <c r="A61" s="593"/>
      <c r="B61" s="593"/>
      <c r="C61" s="593"/>
      <c r="D61" s="593"/>
      <c r="E61" s="593"/>
      <c r="F61" s="593"/>
      <c r="G61" s="593"/>
      <c r="H61" s="593"/>
      <c r="I61" s="593"/>
      <c r="J61" s="593"/>
      <c r="K61" s="593"/>
      <c r="L61" s="593"/>
      <c r="M61" s="593"/>
      <c r="N61" s="593"/>
    </row>
    <row r="62" spans="1:14">
      <c r="A62" s="593"/>
      <c r="B62" s="593"/>
      <c r="C62" s="593"/>
      <c r="D62" s="593"/>
      <c r="E62" s="593"/>
      <c r="F62" s="593"/>
      <c r="G62" s="593"/>
      <c r="H62" s="593"/>
      <c r="I62" s="593"/>
      <c r="J62" s="593"/>
      <c r="K62" s="593"/>
      <c r="L62" s="593"/>
      <c r="M62" s="593"/>
      <c r="N62" s="593"/>
    </row>
    <row r="63" spans="1:14">
      <c r="A63" s="593"/>
      <c r="B63" s="593"/>
      <c r="C63" s="593"/>
      <c r="D63" s="593"/>
      <c r="E63" s="593"/>
      <c r="F63" s="593"/>
      <c r="G63" s="593"/>
      <c r="H63" s="593"/>
      <c r="I63" s="593"/>
      <c r="J63" s="593"/>
      <c r="K63" s="593"/>
      <c r="L63" s="593"/>
      <c r="M63" s="593"/>
      <c r="N63" s="593"/>
    </row>
    <row r="64" spans="1:14">
      <c r="A64" s="593"/>
      <c r="B64" s="593"/>
      <c r="C64" s="593"/>
      <c r="D64" s="593"/>
      <c r="E64" s="593"/>
      <c r="F64" s="593"/>
      <c r="G64" s="593"/>
      <c r="H64" s="593"/>
      <c r="I64" s="593"/>
      <c r="J64" s="593"/>
      <c r="K64" s="593"/>
      <c r="L64" s="593"/>
      <c r="M64" s="593"/>
      <c r="N64" s="593"/>
    </row>
    <row r="65" spans="1:14">
      <c r="A65" s="593"/>
      <c r="B65" s="593"/>
      <c r="C65" s="593"/>
      <c r="D65" s="593"/>
      <c r="E65" s="593"/>
      <c r="F65" s="593"/>
      <c r="G65" s="593"/>
      <c r="H65" s="593"/>
      <c r="I65" s="593"/>
      <c r="J65" s="593"/>
      <c r="K65" s="593"/>
      <c r="L65" s="593"/>
      <c r="M65" s="593"/>
      <c r="N65" s="593"/>
    </row>
    <row r="66" spans="1:14">
      <c r="A66" s="593"/>
      <c r="B66" s="593"/>
      <c r="C66" s="593"/>
      <c r="D66" s="593"/>
      <c r="E66" s="593"/>
      <c r="F66" s="593"/>
      <c r="G66" s="593"/>
      <c r="H66" s="593"/>
      <c r="I66" s="593"/>
      <c r="J66" s="593"/>
      <c r="K66" s="593"/>
      <c r="L66" s="593"/>
      <c r="M66" s="593"/>
      <c r="N66" s="593"/>
    </row>
    <row r="67" spans="1:14">
      <c r="A67" s="593"/>
      <c r="B67" s="593"/>
      <c r="C67" s="593"/>
      <c r="D67" s="593"/>
      <c r="E67" s="593"/>
      <c r="F67" s="593"/>
      <c r="G67" s="593"/>
      <c r="H67" s="593"/>
      <c r="I67" s="593"/>
      <c r="J67" s="593"/>
      <c r="K67" s="593"/>
      <c r="L67" s="593"/>
      <c r="M67" s="593"/>
      <c r="N67" s="593"/>
    </row>
    <row r="68" spans="1:14">
      <c r="A68" s="593"/>
      <c r="B68" s="593"/>
      <c r="C68" s="593"/>
      <c r="D68" s="593"/>
      <c r="E68" s="593"/>
      <c r="F68" s="593"/>
      <c r="G68" s="593"/>
      <c r="H68" s="593"/>
      <c r="I68" s="593"/>
      <c r="J68" s="593"/>
      <c r="K68" s="593"/>
      <c r="L68" s="593"/>
      <c r="M68" s="593"/>
      <c r="N68" s="593"/>
    </row>
    <row r="69" spans="1:14">
      <c r="A69" s="593"/>
      <c r="B69" s="593"/>
      <c r="C69" s="593"/>
      <c r="D69" s="593"/>
      <c r="E69" s="593"/>
      <c r="F69" s="593"/>
      <c r="G69" s="593"/>
      <c r="H69" s="593"/>
      <c r="I69" s="593"/>
      <c r="J69" s="593"/>
      <c r="K69" s="593"/>
      <c r="L69" s="593"/>
      <c r="M69" s="593"/>
      <c r="N69" s="593"/>
    </row>
    <row r="70" spans="1:14">
      <c r="A70" s="593"/>
      <c r="B70" s="593"/>
      <c r="C70" s="593"/>
      <c r="D70" s="593"/>
      <c r="E70" s="593"/>
      <c r="F70" s="593"/>
      <c r="G70" s="593"/>
      <c r="H70" s="593"/>
      <c r="I70" s="593"/>
      <c r="J70" s="593"/>
      <c r="K70" s="593"/>
      <c r="L70" s="593"/>
      <c r="M70" s="593"/>
      <c r="N70" s="593"/>
    </row>
    <row r="71" spans="1:14">
      <c r="A71" s="593"/>
      <c r="B71" s="593"/>
      <c r="C71" s="593"/>
      <c r="D71" s="593"/>
      <c r="E71" s="593"/>
      <c r="F71" s="593"/>
      <c r="G71" s="593"/>
      <c r="H71" s="593"/>
      <c r="I71" s="593"/>
      <c r="J71" s="593"/>
      <c r="K71" s="593"/>
      <c r="L71" s="593"/>
      <c r="M71" s="593"/>
      <c r="N71" s="593"/>
    </row>
    <row r="72" spans="1:14">
      <c r="A72" s="593"/>
      <c r="B72" s="593"/>
      <c r="C72" s="593"/>
      <c r="D72" s="593"/>
      <c r="E72" s="593"/>
      <c r="F72" s="593"/>
      <c r="G72" s="593"/>
      <c r="H72" s="593"/>
      <c r="I72" s="593"/>
      <c r="J72" s="593"/>
      <c r="K72" s="593"/>
      <c r="L72" s="593"/>
      <c r="M72" s="593"/>
      <c r="N72" s="593"/>
    </row>
    <row r="73" spans="1:14">
      <c r="A73" s="593"/>
      <c r="B73" s="593"/>
      <c r="C73" s="593"/>
      <c r="D73" s="593"/>
      <c r="E73" s="593"/>
      <c r="F73" s="593"/>
      <c r="G73" s="593"/>
      <c r="H73" s="593"/>
      <c r="I73" s="593"/>
      <c r="J73" s="593"/>
      <c r="K73" s="593"/>
      <c r="L73" s="593"/>
      <c r="M73" s="593"/>
      <c r="N73" s="593"/>
    </row>
    <row r="74" spans="1:14">
      <c r="A74" s="593"/>
      <c r="B74" s="593"/>
      <c r="C74" s="593"/>
      <c r="D74" s="593"/>
      <c r="E74" s="593"/>
      <c r="F74" s="593"/>
      <c r="G74" s="593"/>
      <c r="H74" s="593"/>
      <c r="I74" s="593"/>
      <c r="J74" s="593"/>
      <c r="K74" s="593"/>
      <c r="L74" s="593"/>
      <c r="M74" s="593"/>
      <c r="N74" s="593"/>
    </row>
    <row r="75" spans="1:14">
      <c r="A75" s="593"/>
      <c r="B75" s="593"/>
      <c r="C75" s="593"/>
      <c r="D75" s="593"/>
      <c r="E75" s="593"/>
      <c r="F75" s="593"/>
      <c r="G75" s="593"/>
      <c r="H75" s="593"/>
      <c r="I75" s="593"/>
      <c r="J75" s="593"/>
      <c r="K75" s="593"/>
      <c r="L75" s="593"/>
      <c r="M75" s="593"/>
      <c r="N75" s="593"/>
    </row>
    <row r="76" spans="1:14">
      <c r="A76" s="593"/>
      <c r="B76" s="593"/>
      <c r="C76" s="593"/>
      <c r="D76" s="593"/>
      <c r="E76" s="593"/>
      <c r="F76" s="593"/>
      <c r="G76" s="593"/>
      <c r="H76" s="593"/>
      <c r="I76" s="593"/>
      <c r="J76" s="593"/>
      <c r="K76" s="593"/>
      <c r="L76" s="593"/>
      <c r="M76" s="593"/>
      <c r="N76" s="593"/>
    </row>
    <row r="77" spans="1:14">
      <c r="A77" s="593"/>
      <c r="B77" s="593"/>
      <c r="C77" s="593"/>
      <c r="D77" s="593"/>
      <c r="E77" s="593"/>
      <c r="F77" s="593"/>
      <c r="G77" s="593"/>
      <c r="H77" s="593"/>
      <c r="I77" s="593"/>
      <c r="J77" s="593"/>
      <c r="K77" s="593"/>
      <c r="L77" s="593"/>
      <c r="M77" s="593"/>
      <c r="N77" s="593"/>
    </row>
    <row r="78" spans="1:14">
      <c r="A78" s="593"/>
      <c r="B78" s="593"/>
      <c r="C78" s="593"/>
      <c r="D78" s="593"/>
      <c r="E78" s="593"/>
      <c r="F78" s="593"/>
      <c r="G78" s="593"/>
      <c r="H78" s="593"/>
      <c r="I78" s="593"/>
      <c r="J78" s="593"/>
      <c r="K78" s="593"/>
      <c r="L78" s="593"/>
      <c r="M78" s="593"/>
      <c r="N78" s="593"/>
    </row>
    <row r="79" spans="1:14">
      <c r="A79" s="593"/>
      <c r="B79" s="593"/>
      <c r="C79" s="593"/>
      <c r="D79" s="593"/>
      <c r="E79" s="593"/>
      <c r="F79" s="593"/>
      <c r="G79" s="593"/>
      <c r="H79" s="593"/>
      <c r="I79" s="593"/>
      <c r="J79" s="593"/>
      <c r="K79" s="593"/>
      <c r="L79" s="593"/>
      <c r="M79" s="593"/>
      <c r="N79" s="593"/>
    </row>
    <row r="80" spans="1:14">
      <c r="A80" s="593"/>
      <c r="B80" s="593"/>
      <c r="C80" s="593"/>
      <c r="D80" s="593"/>
      <c r="E80" s="593"/>
      <c r="F80" s="593"/>
      <c r="G80" s="593"/>
      <c r="H80" s="593"/>
      <c r="I80" s="593"/>
      <c r="J80" s="593"/>
      <c r="K80" s="593"/>
      <c r="L80" s="593"/>
      <c r="M80" s="593"/>
      <c r="N80" s="593"/>
    </row>
    <row r="81" spans="1:14">
      <c r="A81" s="593"/>
      <c r="B81" s="593"/>
      <c r="C81" s="593"/>
      <c r="D81" s="593"/>
      <c r="E81" s="593"/>
      <c r="F81" s="593"/>
      <c r="G81" s="593"/>
      <c r="H81" s="593"/>
      <c r="I81" s="593"/>
      <c r="J81" s="593"/>
      <c r="K81" s="593"/>
      <c r="L81" s="593"/>
      <c r="M81" s="593"/>
      <c r="N81" s="593"/>
    </row>
    <row r="82" spans="1:14">
      <c r="A82" s="593"/>
      <c r="B82" s="593"/>
      <c r="C82" s="593"/>
      <c r="D82" s="593"/>
      <c r="E82" s="593"/>
      <c r="F82" s="593"/>
      <c r="G82" s="593"/>
      <c r="H82" s="593"/>
      <c r="I82" s="593"/>
      <c r="J82" s="593"/>
      <c r="K82" s="593"/>
      <c r="L82" s="593"/>
      <c r="M82" s="593"/>
      <c r="N82" s="593"/>
    </row>
    <row r="83" spans="1:14">
      <c r="A83" s="593"/>
      <c r="B83" s="593"/>
      <c r="C83" s="593"/>
      <c r="D83" s="593"/>
      <c r="E83" s="593"/>
      <c r="F83" s="593"/>
      <c r="G83" s="593"/>
      <c r="H83" s="593"/>
      <c r="I83" s="593"/>
      <c r="J83" s="593"/>
      <c r="K83" s="593"/>
      <c r="L83" s="593"/>
      <c r="M83" s="593"/>
      <c r="N83" s="593"/>
    </row>
    <row r="84" spans="1:14">
      <c r="A84" s="593"/>
      <c r="B84" s="593"/>
      <c r="C84" s="593"/>
      <c r="D84" s="593"/>
      <c r="E84" s="593"/>
      <c r="F84" s="593"/>
      <c r="G84" s="593"/>
      <c r="H84" s="593"/>
      <c r="I84" s="593"/>
      <c r="J84" s="593"/>
      <c r="K84" s="593"/>
      <c r="L84" s="593"/>
      <c r="M84" s="593"/>
      <c r="N84" s="593"/>
    </row>
    <row r="85" spans="1:14">
      <c r="A85" s="593"/>
      <c r="B85" s="593"/>
      <c r="C85" s="593"/>
      <c r="D85" s="593"/>
      <c r="E85" s="593"/>
      <c r="F85" s="593"/>
      <c r="G85" s="593"/>
      <c r="H85" s="593"/>
      <c r="I85" s="593"/>
      <c r="J85" s="593"/>
      <c r="K85" s="593"/>
      <c r="L85" s="593"/>
      <c r="M85" s="593"/>
      <c r="N85" s="593"/>
    </row>
    <row r="86" spans="1:14">
      <c r="A86" s="593"/>
      <c r="B86" s="593"/>
      <c r="C86" s="593"/>
      <c r="D86" s="593"/>
      <c r="E86" s="593"/>
      <c r="F86" s="593"/>
      <c r="G86" s="593"/>
      <c r="H86" s="593"/>
      <c r="I86" s="593"/>
      <c r="J86" s="593"/>
      <c r="K86" s="593"/>
      <c r="L86" s="593"/>
      <c r="M86" s="593"/>
      <c r="N86" s="593"/>
    </row>
    <row r="87" spans="1:14">
      <c r="A87" s="593"/>
      <c r="B87" s="593"/>
      <c r="C87" s="593"/>
      <c r="D87" s="593"/>
      <c r="E87" s="593"/>
      <c r="F87" s="593"/>
      <c r="G87" s="593"/>
      <c r="H87" s="593"/>
      <c r="I87" s="593"/>
      <c r="J87" s="593"/>
      <c r="K87" s="593"/>
      <c r="L87" s="593"/>
      <c r="M87" s="593"/>
      <c r="N87" s="593"/>
    </row>
    <row r="88" spans="1:14">
      <c r="A88" s="593"/>
      <c r="B88" s="593"/>
      <c r="C88" s="593"/>
      <c r="D88" s="593"/>
      <c r="E88" s="593"/>
      <c r="F88" s="593"/>
      <c r="G88" s="593"/>
      <c r="H88" s="593"/>
      <c r="I88" s="593"/>
      <c r="J88" s="593"/>
      <c r="K88" s="593"/>
      <c r="L88" s="593"/>
      <c r="M88" s="593"/>
      <c r="N88" s="593"/>
    </row>
    <row r="89" spans="1:14">
      <c r="A89" s="593"/>
      <c r="B89" s="593"/>
      <c r="C89" s="593"/>
      <c r="D89" s="593"/>
      <c r="E89" s="593"/>
      <c r="F89" s="593"/>
      <c r="G89" s="593"/>
      <c r="H89" s="593"/>
      <c r="I89" s="593"/>
      <c r="J89" s="593"/>
      <c r="K89" s="593"/>
      <c r="L89" s="593"/>
      <c r="M89" s="593"/>
      <c r="N89" s="593"/>
    </row>
    <row r="90" spans="1:14">
      <c r="A90" s="593"/>
      <c r="B90" s="593"/>
      <c r="C90" s="593"/>
      <c r="D90" s="593"/>
      <c r="E90" s="593"/>
      <c r="F90" s="593"/>
      <c r="G90" s="593"/>
      <c r="H90" s="593"/>
      <c r="I90" s="593"/>
      <c r="J90" s="593"/>
      <c r="K90" s="593"/>
      <c r="L90" s="593"/>
      <c r="M90" s="593"/>
      <c r="N90" s="593"/>
    </row>
    <row r="91" spans="1:14">
      <c r="A91" s="593"/>
      <c r="B91" s="593"/>
      <c r="C91" s="593"/>
      <c r="D91" s="593"/>
      <c r="E91" s="593"/>
      <c r="F91" s="593"/>
      <c r="G91" s="593"/>
      <c r="H91" s="593"/>
      <c r="I91" s="593"/>
      <c r="J91" s="593"/>
      <c r="K91" s="593"/>
      <c r="L91" s="593"/>
      <c r="M91" s="593"/>
      <c r="N91" s="593"/>
    </row>
    <row r="92" spans="1:14">
      <c r="A92" s="593"/>
      <c r="B92" s="593"/>
      <c r="C92" s="593"/>
      <c r="D92" s="593"/>
      <c r="E92" s="593"/>
      <c r="F92" s="593"/>
      <c r="G92" s="593"/>
      <c r="H92" s="593"/>
      <c r="I92" s="593"/>
      <c r="J92" s="593"/>
      <c r="K92" s="593"/>
      <c r="L92" s="593"/>
      <c r="M92" s="593"/>
      <c r="N92" s="593"/>
    </row>
    <row r="93" spans="1:14">
      <c r="A93" s="593"/>
      <c r="B93" s="593"/>
      <c r="C93" s="593"/>
      <c r="D93" s="593"/>
      <c r="E93" s="593"/>
      <c r="F93" s="593"/>
      <c r="G93" s="593"/>
      <c r="H93" s="593"/>
      <c r="I93" s="593"/>
      <c r="J93" s="593"/>
      <c r="K93" s="593"/>
      <c r="L93" s="593"/>
      <c r="M93" s="593"/>
      <c r="N93" s="593"/>
    </row>
    <row r="94" spans="1:14">
      <c r="A94" s="593"/>
      <c r="B94" s="593"/>
      <c r="C94" s="593"/>
      <c r="D94" s="593"/>
      <c r="E94" s="593"/>
      <c r="F94" s="593"/>
      <c r="G94" s="593"/>
      <c r="H94" s="593"/>
      <c r="I94" s="593"/>
      <c r="J94" s="593"/>
      <c r="K94" s="593"/>
      <c r="L94" s="593"/>
      <c r="M94" s="593"/>
      <c r="N94" s="593"/>
    </row>
    <row r="95" spans="1:14">
      <c r="A95" s="593"/>
      <c r="B95" s="593"/>
      <c r="C95" s="593"/>
      <c r="D95" s="593"/>
      <c r="E95" s="593"/>
      <c r="F95" s="593"/>
      <c r="G95" s="593"/>
      <c r="H95" s="593"/>
      <c r="I95" s="593"/>
      <c r="J95" s="593"/>
      <c r="K95" s="593"/>
      <c r="L95" s="593"/>
      <c r="M95" s="593"/>
      <c r="N95" s="593"/>
    </row>
  </sheetData>
  <mergeCells count="17">
    <mergeCell ref="A22:H22"/>
    <mergeCell ref="A23:H23"/>
    <mergeCell ref="A21:H21"/>
    <mergeCell ref="B11:F11"/>
    <mergeCell ref="B12:F12"/>
    <mergeCell ref="B13:F13"/>
    <mergeCell ref="B14:F14"/>
    <mergeCell ref="B15:F15"/>
    <mergeCell ref="B16:F16"/>
    <mergeCell ref="A18:H18"/>
    <mergeCell ref="A19:H19"/>
    <mergeCell ref="B20:F20"/>
    <mergeCell ref="B9:F9"/>
    <mergeCell ref="B4:F4"/>
    <mergeCell ref="B6:F6"/>
    <mergeCell ref="B7:F7"/>
    <mergeCell ref="B8:F8"/>
  </mergeCells>
  <conditionalFormatting sqref="A26:H42 A45:H60">
    <cfRule type="cellIs" dxfId="21" priority="6" operator="equal">
      <formula>0</formula>
    </cfRule>
  </conditionalFormatting>
  <conditionalFormatting sqref="G37:H37 G41:H41 A1:Y2">
    <cfRule type="cellIs" dxfId="20" priority="4" operator="equal">
      <formula>#DIV/0!</formula>
    </cfRule>
    <cfRule type="cellIs" dxfId="19" priority="5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rgb="FFFFC000"/>
  </sheetPr>
  <dimension ref="A1:BQ83"/>
  <sheetViews>
    <sheetView zoomScaleNormal="100" workbookViewId="0">
      <pane xSplit="9" ySplit="1" topLeftCell="J5" activePane="bottomRight" state="frozen"/>
      <selection pane="topRight" activeCell="J1" sqref="J1"/>
      <selection pane="bottomLeft" activeCell="A2" sqref="A2"/>
      <selection pane="bottomRight" activeCell="E46" sqref="E46"/>
    </sheetView>
  </sheetViews>
  <sheetFormatPr defaultColWidth="20.7109375" defaultRowHeight="15"/>
  <cols>
    <col min="1" max="1" width="4.140625" style="522" customWidth="1"/>
    <col min="2" max="42" width="20.7109375" style="522"/>
    <col min="43" max="43" width="20.7109375" style="523"/>
    <col min="44" max="63" width="20.7109375" style="522"/>
    <col min="64" max="64" width="30" style="522" customWidth="1"/>
    <col min="65" max="16384" width="20.7109375" style="522"/>
  </cols>
  <sheetData>
    <row r="1" spans="1:69" ht="15.75" thickBot="1">
      <c r="A1" s="522" t="s">
        <v>1285</v>
      </c>
      <c r="B1" s="522" t="s">
        <v>10</v>
      </c>
      <c r="C1" s="522" t="s">
        <v>15</v>
      </c>
      <c r="D1" s="522" t="s">
        <v>1379</v>
      </c>
      <c r="E1" s="522" t="s">
        <v>1380</v>
      </c>
      <c r="F1" s="522" t="s">
        <v>1361</v>
      </c>
      <c r="G1" s="522" t="s">
        <v>1363</v>
      </c>
      <c r="H1" s="522" t="s">
        <v>1381</v>
      </c>
      <c r="I1" s="522" t="s">
        <v>1382</v>
      </c>
      <c r="J1" s="522" t="s">
        <v>1383</v>
      </c>
      <c r="K1" s="522" t="s">
        <v>1384</v>
      </c>
      <c r="L1" s="522" t="s">
        <v>1385</v>
      </c>
      <c r="M1" s="522" t="s">
        <v>1386</v>
      </c>
      <c r="N1" s="522" t="s">
        <v>1387</v>
      </c>
      <c r="O1" s="522" t="s">
        <v>1388</v>
      </c>
      <c r="P1" s="522" t="s">
        <v>1389</v>
      </c>
      <c r="Q1" s="522" t="s">
        <v>1390</v>
      </c>
      <c r="R1" s="522" t="s">
        <v>1391</v>
      </c>
      <c r="S1" s="522" t="s">
        <v>1392</v>
      </c>
      <c r="T1" s="522" t="s">
        <v>1393</v>
      </c>
      <c r="U1" s="522" t="s">
        <v>1394</v>
      </c>
      <c r="V1" s="522" t="s">
        <v>1395</v>
      </c>
      <c r="W1" s="522" t="s">
        <v>1396</v>
      </c>
      <c r="X1" s="522" t="s">
        <v>1397</v>
      </c>
      <c r="Y1" s="522" t="s">
        <v>1398</v>
      </c>
      <c r="Z1" s="522" t="s">
        <v>1399</v>
      </c>
      <c r="AA1" s="522" t="s">
        <v>1400</v>
      </c>
      <c r="AB1" s="522" t="s">
        <v>1401</v>
      </c>
      <c r="AC1" s="522" t="s">
        <v>1402</v>
      </c>
      <c r="AD1" s="522" t="s">
        <v>1403</v>
      </c>
      <c r="AE1" s="522" t="s">
        <v>1404</v>
      </c>
      <c r="AF1" s="522" t="s">
        <v>1405</v>
      </c>
      <c r="AG1" s="522" t="s">
        <v>1406</v>
      </c>
      <c r="AH1" s="522" t="s">
        <v>1407</v>
      </c>
      <c r="AI1" s="522" t="s">
        <v>1408</v>
      </c>
      <c r="AJ1" s="522" t="s">
        <v>1409</v>
      </c>
      <c r="AK1" s="522" t="s">
        <v>1410</v>
      </c>
      <c r="AL1" s="522" t="s">
        <v>1411</v>
      </c>
      <c r="AM1" s="522" t="s">
        <v>1412</v>
      </c>
      <c r="AN1" s="522" t="s">
        <v>1413</v>
      </c>
      <c r="AO1" s="522" t="s">
        <v>1414</v>
      </c>
      <c r="AP1" s="522" t="s">
        <v>1415</v>
      </c>
      <c r="AQ1" s="523" t="s">
        <v>1317</v>
      </c>
      <c r="AR1" s="522" t="s">
        <v>1416</v>
      </c>
      <c r="AS1" s="522" t="s">
        <v>1417</v>
      </c>
      <c r="AT1" s="522" t="s">
        <v>1418</v>
      </c>
      <c r="AU1" s="522" t="s">
        <v>1419</v>
      </c>
      <c r="AV1" s="522" t="s">
        <v>1420</v>
      </c>
      <c r="AW1" s="522" t="s">
        <v>1421</v>
      </c>
      <c r="AX1" s="522" t="s">
        <v>1437</v>
      </c>
      <c r="AY1" s="522" t="s">
        <v>13</v>
      </c>
      <c r="AZ1" s="522" t="s">
        <v>1563</v>
      </c>
      <c r="BA1" s="522" t="s">
        <v>1514</v>
      </c>
      <c r="BB1" s="522" t="s">
        <v>1723</v>
      </c>
      <c r="BC1" s="522" t="s">
        <v>1724</v>
      </c>
      <c r="BD1" s="522" t="s">
        <v>1725</v>
      </c>
      <c r="BE1" s="524" t="s">
        <v>1751</v>
      </c>
      <c r="BF1" s="525" t="s">
        <v>1752</v>
      </c>
      <c r="BG1" s="526" t="s">
        <v>1753</v>
      </c>
      <c r="BH1" s="522" t="s">
        <v>1754</v>
      </c>
      <c r="BI1" s="522" t="s">
        <v>1755</v>
      </c>
      <c r="BJ1" s="522" t="s">
        <v>1756</v>
      </c>
      <c r="BK1" s="522" t="s">
        <v>1757</v>
      </c>
      <c r="BL1" s="527" t="s">
        <v>1758</v>
      </c>
      <c r="BM1" s="527" t="s">
        <v>1759</v>
      </c>
      <c r="BN1" s="527" t="s">
        <v>1760</v>
      </c>
      <c r="BO1" s="527" t="s">
        <v>1761</v>
      </c>
      <c r="BP1" s="527" t="s">
        <v>1762</v>
      </c>
      <c r="BQ1" s="522" t="s">
        <v>1763</v>
      </c>
    </row>
    <row r="2" spans="1:69" ht="15.75" thickBot="1">
      <c r="A2" s="522" t="s">
        <v>31</v>
      </c>
      <c r="B2" s="522" t="s">
        <v>19</v>
      </c>
      <c r="C2" s="528" t="s">
        <v>31</v>
      </c>
      <c r="D2" s="522">
        <v>0</v>
      </c>
      <c r="E2" s="522" t="s">
        <v>1716</v>
      </c>
      <c r="F2" s="522">
        <v>3</v>
      </c>
      <c r="G2" s="522" t="s">
        <v>1661</v>
      </c>
      <c r="H2" s="529">
        <v>21</v>
      </c>
      <c r="I2" s="522" t="s">
        <v>1632</v>
      </c>
      <c r="J2" s="522">
        <v>1</v>
      </c>
      <c r="K2" s="522">
        <v>366</v>
      </c>
      <c r="L2" s="522">
        <v>0</v>
      </c>
      <c r="M2" s="522">
        <v>0</v>
      </c>
      <c r="N2" s="522">
        <v>140</v>
      </c>
      <c r="O2" s="522">
        <v>0</v>
      </c>
      <c r="P2" s="522">
        <v>0</v>
      </c>
      <c r="Q2" s="522">
        <v>30</v>
      </c>
      <c r="R2" s="522">
        <v>7</v>
      </c>
      <c r="S2" s="522">
        <v>2</v>
      </c>
      <c r="T2" s="522">
        <v>139</v>
      </c>
      <c r="U2" s="522">
        <v>2</v>
      </c>
      <c r="V2" s="522">
        <v>1</v>
      </c>
      <c r="W2" s="522">
        <v>96</v>
      </c>
      <c r="X2" s="529">
        <f>Техкарта6[[#This Row],[Масса]]/Техкарта6[[#This Row],[Кільк-сть дерев]]</f>
        <v>1.139344262295082</v>
      </c>
      <c r="Y2" s="529">
        <f>SUM(Техкарта6[[#This Row],[Знач1]:[Знач12]])</f>
        <v>417</v>
      </c>
      <c r="Z2" s="529">
        <f>(Техкарта6[[#This Row],[Нелеквид]]+Техкарта6[[#This Row],[Масса]])/Техкарта6[[#This Row],[Площа,га]]</f>
        <v>439</v>
      </c>
      <c r="AA2" s="529">
        <v>71.725999999999999</v>
      </c>
      <c r="AB2" s="529">
        <v>29.172000000000001</v>
      </c>
      <c r="AC2" s="522">
        <v>22</v>
      </c>
      <c r="AE2" s="529" t="e">
        <v>#REF!</v>
      </c>
      <c r="AF2" s="522">
        <v>1</v>
      </c>
      <c r="AG2" s="522">
        <v>43101</v>
      </c>
      <c r="AJ2" s="530">
        <v>43102</v>
      </c>
      <c r="AL2" s="530" t="s">
        <v>927</v>
      </c>
      <c r="AO2" s="529">
        <f>Техкарта6[[#This Row],[Масса]]*Техкарта6[[#This Row],[Витрати кбм]]</f>
        <v>29909.741999999998</v>
      </c>
      <c r="AP2" s="522">
        <v>556620</v>
      </c>
      <c r="AQ2" s="523" t="s">
        <v>1719</v>
      </c>
      <c r="AY2" s="522" t="s">
        <v>1720</v>
      </c>
      <c r="BB2" s="522" t="s">
        <v>1726</v>
      </c>
      <c r="BC2" s="529">
        <f>MONTH(Техкарта6[[#This Row],[Дата ЛК]])</f>
        <v>12</v>
      </c>
      <c r="BE2" s="487">
        <v>5</v>
      </c>
      <c r="BF2" s="488">
        <v>40</v>
      </c>
      <c r="BG2" s="531" t="s">
        <v>1764</v>
      </c>
      <c r="BH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" s="522">
        <v>1</v>
      </c>
      <c r="BK2" s="532" t="str">
        <f>Техкарта6[[#This Row],[Кв-л]]&amp;" кв ("&amp;Substring(Техкарта6[[#This Row],[Виділ]],"_",1)&amp;" вид) "&amp;Substring(Техкарта6[[#This Row],[Виділ]],"_",2)&amp;" діл."</f>
        <v>21 кв (2 вид) 0 діл.</v>
      </c>
      <c r="BL2" s="529" t="str">
        <f>Техкарта6[[#This Row],[ПолнаяДіл]] &amp;" "&amp;Техкарта6[[#This Row],[ЛК]]</f>
        <v>21 кв (2 вид) 0 діл. 556620</v>
      </c>
      <c r="BM2" s="529">
        <f>MONTH(Техкарта6[[#This Row],[Дата начала робіт договору]])</f>
        <v>1</v>
      </c>
      <c r="BN2" s="529" t="s">
        <v>1765</v>
      </c>
      <c r="BO2" s="529" t="s">
        <v>1765</v>
      </c>
      <c r="BP2" s="529" t="s">
        <v>1765</v>
      </c>
      <c r="BQ2" s="522" t="s">
        <v>31</v>
      </c>
    </row>
    <row r="3" spans="1:69">
      <c r="A3" s="522" t="s">
        <v>31</v>
      </c>
      <c r="B3" s="522" t="s">
        <v>19</v>
      </c>
      <c r="C3" s="528" t="s">
        <v>31</v>
      </c>
      <c r="D3" s="522">
        <v>0</v>
      </c>
      <c r="E3" s="522" t="s">
        <v>1718</v>
      </c>
      <c r="F3" s="522">
        <v>2</v>
      </c>
      <c r="G3" s="522" t="s">
        <v>1661</v>
      </c>
      <c r="H3" s="529">
        <v>55</v>
      </c>
      <c r="I3" s="522" t="s">
        <v>1685</v>
      </c>
      <c r="J3" s="522">
        <v>0.3</v>
      </c>
      <c r="K3" s="522">
        <v>111</v>
      </c>
      <c r="L3" s="522">
        <v>0</v>
      </c>
      <c r="M3" s="522">
        <v>0</v>
      </c>
      <c r="N3" s="522">
        <v>24</v>
      </c>
      <c r="O3" s="522">
        <v>0</v>
      </c>
      <c r="P3" s="522">
        <v>0</v>
      </c>
      <c r="Q3" s="522">
        <v>0</v>
      </c>
      <c r="R3" s="522">
        <v>15</v>
      </c>
      <c r="S3" s="522">
        <v>0</v>
      </c>
      <c r="T3" s="522">
        <v>18</v>
      </c>
      <c r="U3" s="522">
        <v>4</v>
      </c>
      <c r="V3" s="522">
        <v>0</v>
      </c>
      <c r="W3" s="522">
        <v>13</v>
      </c>
      <c r="X3" s="529">
        <f>Техкарта6[[#This Row],[Масса]]/Техкарта6[[#This Row],[Кільк-сть дерев]]</f>
        <v>0.66666666666666663</v>
      </c>
      <c r="Y3" s="529">
        <f>SUM(Техкарта6[[#This Row],[Знач1]:[Знач12]])</f>
        <v>74</v>
      </c>
      <c r="Z3" s="529">
        <f>(Техкарта6[[#This Row],[Нелеквид]]+Техкарта6[[#This Row],[Масса]])/Техкарта6[[#This Row],[Площа,га]]</f>
        <v>266.66666666666669</v>
      </c>
      <c r="AA3" s="529">
        <v>81.355000000000004</v>
      </c>
      <c r="AB3" s="529">
        <v>38.347000000000001</v>
      </c>
      <c r="AC3" s="522">
        <v>6</v>
      </c>
      <c r="AE3" s="529" t="e">
        <v>#REF!</v>
      </c>
      <c r="AF3" s="522">
        <v>1</v>
      </c>
      <c r="AG3" s="522">
        <v>43101</v>
      </c>
      <c r="AJ3" s="530">
        <v>43102</v>
      </c>
      <c r="AL3" s="533" t="s">
        <v>1001</v>
      </c>
      <c r="AO3" s="529">
        <f>Техкарта6[[#This Row],[Масса]]*Техкарта6[[#This Row],[Витрати кбм]]</f>
        <v>6020.27</v>
      </c>
      <c r="AP3" s="522">
        <v>556620</v>
      </c>
      <c r="AQ3" s="523" t="s">
        <v>1719</v>
      </c>
      <c r="AY3" s="522" t="s">
        <v>1720</v>
      </c>
      <c r="BB3" s="522" t="s">
        <v>1726</v>
      </c>
      <c r="BC3" s="529">
        <f>MONTH(Техкарта6[[#This Row],[Дата ЛК]])</f>
        <v>12</v>
      </c>
      <c r="BE3" s="487">
        <v>5</v>
      </c>
      <c r="BF3" s="488">
        <v>40</v>
      </c>
      <c r="BG3" s="531" t="s">
        <v>1764</v>
      </c>
      <c r="BH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" s="522">
        <v>2</v>
      </c>
      <c r="BK3" s="529" t="str">
        <f>Техкарта6[[#This Row],[Кв-л]]&amp;" кв ("&amp;Substring(Техкарта6[[#This Row],[Виділ]],"_",1)&amp;" вид) "&amp;Substring(Техкарта6[[#This Row],[Виділ]],"_",2)&amp;" діл."</f>
        <v>55 кв (7 вид) 0 діл.</v>
      </c>
      <c r="BL3" s="529" t="str">
        <f>Техкарта6[[#This Row],[ПолнаяДіл]] &amp;" "&amp;Техкарта6[[#This Row],[ЛК]]</f>
        <v>55 кв (7 вид) 0 діл. 556620</v>
      </c>
      <c r="BM3" s="529">
        <f>MONTH(Техкарта6[[#This Row],[Дата начала робіт договору]])</f>
        <v>1</v>
      </c>
      <c r="BN3" s="529" t="s">
        <v>1765</v>
      </c>
      <c r="BO3" s="529" t="s">
        <v>1765</v>
      </c>
      <c r="BP3" s="529" t="s">
        <v>1765</v>
      </c>
      <c r="BQ3" s="522" t="s">
        <v>31</v>
      </c>
    </row>
    <row r="4" spans="1:69">
      <c r="A4" s="522" t="s">
        <v>31</v>
      </c>
      <c r="B4" s="522" t="s">
        <v>19</v>
      </c>
      <c r="C4" s="528" t="s">
        <v>31</v>
      </c>
      <c r="D4" s="522">
        <v>0</v>
      </c>
      <c r="E4" s="522" t="s">
        <v>1716</v>
      </c>
      <c r="F4" s="522">
        <v>2</v>
      </c>
      <c r="G4" s="522" t="s">
        <v>1661</v>
      </c>
      <c r="H4" s="529">
        <v>52</v>
      </c>
      <c r="I4" s="522" t="s">
        <v>1685</v>
      </c>
      <c r="J4" s="522">
        <v>0.3</v>
      </c>
      <c r="K4" s="522">
        <v>162</v>
      </c>
      <c r="L4" s="522">
        <v>0</v>
      </c>
      <c r="M4" s="522">
        <v>0</v>
      </c>
      <c r="N4" s="522">
        <v>36</v>
      </c>
      <c r="O4" s="522">
        <v>0</v>
      </c>
      <c r="P4" s="522">
        <v>0</v>
      </c>
      <c r="Q4" s="522">
        <v>0</v>
      </c>
      <c r="R4" s="522">
        <v>1</v>
      </c>
      <c r="S4" s="522">
        <v>1</v>
      </c>
      <c r="T4" s="522">
        <v>26</v>
      </c>
      <c r="U4" s="522">
        <v>0</v>
      </c>
      <c r="V4" s="522">
        <v>1</v>
      </c>
      <c r="W4" s="522">
        <v>18</v>
      </c>
      <c r="X4" s="529">
        <f>Техкарта6[[#This Row],[Масса]]/Техкарта6[[#This Row],[Кільк-сть дерев]]</f>
        <v>0.51234567901234573</v>
      </c>
      <c r="Y4" s="529">
        <f>SUM(Техкарта6[[#This Row],[Знач1]:[Знач12]])</f>
        <v>83</v>
      </c>
      <c r="Z4" s="529">
        <f>(Техкарта6[[#This Row],[Нелеквид]]+Техкарта6[[#This Row],[Масса]])/Техкарта6[[#This Row],[Площа,га]]</f>
        <v>296.66666666666669</v>
      </c>
      <c r="AA4" s="529">
        <v>83.323999999999998</v>
      </c>
      <c r="AB4" s="529">
        <v>41.637</v>
      </c>
      <c r="AC4" s="522">
        <v>6</v>
      </c>
      <c r="AE4" s="529" t="e">
        <v>#REF!</v>
      </c>
      <c r="AF4" s="522">
        <v>1</v>
      </c>
      <c r="AG4" s="522">
        <v>43101</v>
      </c>
      <c r="AJ4" s="530">
        <v>43102</v>
      </c>
      <c r="AL4" s="533" t="s">
        <v>1001</v>
      </c>
      <c r="AO4" s="529">
        <f>Техкарта6[[#This Row],[Масса]]*Техкарта6[[#This Row],[Витрати кбм]]</f>
        <v>6915.8919999999998</v>
      </c>
      <c r="AP4" s="522">
        <v>556620</v>
      </c>
      <c r="AQ4" s="523" t="s">
        <v>1719</v>
      </c>
      <c r="AY4" s="522" t="s">
        <v>1720</v>
      </c>
      <c r="BB4" s="522" t="s">
        <v>1726</v>
      </c>
      <c r="BC4" s="529">
        <f>MONTH(Техкарта6[[#This Row],[Дата ЛК]])</f>
        <v>12</v>
      </c>
      <c r="BE4" s="487">
        <v>5</v>
      </c>
      <c r="BF4" s="488">
        <v>40</v>
      </c>
      <c r="BG4" s="531" t="s">
        <v>1764</v>
      </c>
      <c r="BH4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4" s="522">
        <v>3</v>
      </c>
      <c r="BK4" s="529" t="str">
        <f>Техкарта6[[#This Row],[Кв-л]]&amp;" кв ("&amp;Substring(Техкарта6[[#This Row],[Виділ]],"_",1)&amp;" вид) "&amp;Substring(Техкарта6[[#This Row],[Виділ]],"_",2)&amp;" діл."</f>
        <v>52 кв (7 вид) 0 діл.</v>
      </c>
      <c r="BL4" s="529" t="str">
        <f>Техкарта6[[#This Row],[ПолнаяДіл]] &amp;" "&amp;Техкарта6[[#This Row],[ЛК]]</f>
        <v>52 кв (7 вид) 0 діл. 556620</v>
      </c>
      <c r="BM4" s="529">
        <f>MONTH(Техкарта6[[#This Row],[Дата начала робіт договору]])</f>
        <v>1</v>
      </c>
      <c r="BN4" s="529" t="s">
        <v>1765</v>
      </c>
      <c r="BO4" s="529" t="s">
        <v>1765</v>
      </c>
      <c r="BP4" s="529" t="s">
        <v>1765</v>
      </c>
      <c r="BQ4" s="522" t="s">
        <v>31</v>
      </c>
    </row>
    <row r="5" spans="1:69">
      <c r="A5" s="522" t="s">
        <v>31</v>
      </c>
      <c r="B5" s="522" t="s">
        <v>19</v>
      </c>
      <c r="C5" s="528" t="s">
        <v>31</v>
      </c>
      <c r="D5" s="522">
        <v>0</v>
      </c>
      <c r="E5" s="522" t="s">
        <v>1716</v>
      </c>
      <c r="F5" s="522">
        <v>2</v>
      </c>
      <c r="G5" s="522" t="s">
        <v>1661</v>
      </c>
      <c r="H5" s="529">
        <v>56</v>
      </c>
      <c r="I5" s="522" t="s">
        <v>1694</v>
      </c>
      <c r="J5" s="522">
        <v>0.8</v>
      </c>
      <c r="K5" s="522">
        <v>444</v>
      </c>
      <c r="L5" s="522">
        <v>0</v>
      </c>
      <c r="M5" s="522">
        <v>0</v>
      </c>
      <c r="N5" s="522">
        <v>116</v>
      </c>
      <c r="O5" s="522">
        <v>0</v>
      </c>
      <c r="P5" s="522">
        <v>0</v>
      </c>
      <c r="Q5" s="522">
        <v>6</v>
      </c>
      <c r="R5" s="522">
        <v>15</v>
      </c>
      <c r="S5" s="522">
        <v>2</v>
      </c>
      <c r="T5" s="522">
        <v>88</v>
      </c>
      <c r="U5" s="522">
        <v>5</v>
      </c>
      <c r="V5" s="522">
        <v>1</v>
      </c>
      <c r="W5" s="522">
        <v>58</v>
      </c>
      <c r="X5" s="529">
        <f>Техкарта6[[#This Row],[Масса]]/Техкарта6[[#This Row],[Кільк-сть дерев]]</f>
        <v>0.65540540540540537</v>
      </c>
      <c r="Y5" s="529">
        <f>SUM(Техкарта6[[#This Row],[Знач1]:[Знач12]])</f>
        <v>291</v>
      </c>
      <c r="Z5" s="529">
        <f>(Техкарта6[[#This Row],[Нелеквид]]+Техкарта6[[#This Row],[Масса]])/Техкарта6[[#This Row],[Площа,га]]</f>
        <v>391.25</v>
      </c>
      <c r="AA5" s="529">
        <v>73.534999999999997</v>
      </c>
      <c r="AB5" s="529">
        <v>35.381</v>
      </c>
      <c r="AC5" s="522">
        <v>22</v>
      </c>
      <c r="AE5" s="529" t="e">
        <v>#REF!</v>
      </c>
      <c r="AF5" s="522">
        <v>1</v>
      </c>
      <c r="AG5" s="522">
        <v>43101</v>
      </c>
      <c r="AJ5" s="530">
        <v>43102</v>
      </c>
      <c r="AL5" s="534" t="s">
        <v>1037</v>
      </c>
      <c r="AO5" s="529">
        <f>Техкарта6[[#This Row],[Масса]]*Техкарта6[[#This Row],[Витрати кбм]]</f>
        <v>21398.684999999998</v>
      </c>
      <c r="AP5" s="522">
        <v>556620</v>
      </c>
      <c r="AQ5" s="523" t="s">
        <v>1719</v>
      </c>
      <c r="AY5" s="522" t="s">
        <v>1720</v>
      </c>
      <c r="BB5" s="522" t="s">
        <v>1726</v>
      </c>
      <c r="BC5" s="529">
        <f>MONTH(Техкарта6[[#This Row],[Дата ЛК]])</f>
        <v>12</v>
      </c>
      <c r="BE5" s="487">
        <v>5</v>
      </c>
      <c r="BF5" s="488">
        <v>40</v>
      </c>
      <c r="BG5" s="531" t="s">
        <v>1764</v>
      </c>
      <c r="BH5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5" s="522">
        <v>5</v>
      </c>
      <c r="BK5" s="529" t="str">
        <f>Техкарта6[[#This Row],[Кв-л]]&amp;" кв ("&amp;Substring(Техкарта6[[#This Row],[Виділ]],"_",1)&amp;" вид) "&amp;Substring(Техкарта6[[#This Row],[Виділ]],"_",2)&amp;" діл."</f>
        <v>56 кв (13 вид) 0 діл.</v>
      </c>
      <c r="BL5" s="529" t="str">
        <f>Техкарта6[[#This Row],[ПолнаяДіл]] &amp;" "&amp;Техкарта6[[#This Row],[ЛК]]</f>
        <v>56 кв (13 вид) 0 діл. 556620</v>
      </c>
      <c r="BM5" s="529">
        <f>MONTH(Техкарта6[[#This Row],[Дата начала робіт договору]])</f>
        <v>1</v>
      </c>
      <c r="BN5" s="529" t="s">
        <v>1765</v>
      </c>
      <c r="BO5" s="529" t="s">
        <v>1765</v>
      </c>
      <c r="BP5" s="529" t="s">
        <v>1765</v>
      </c>
      <c r="BQ5" s="522" t="s">
        <v>31</v>
      </c>
    </row>
    <row r="6" spans="1:69">
      <c r="A6" s="522" t="s">
        <v>31</v>
      </c>
      <c r="B6" s="522" t="s">
        <v>19</v>
      </c>
      <c r="C6" s="528" t="s">
        <v>31</v>
      </c>
      <c r="D6" s="522">
        <v>0</v>
      </c>
      <c r="E6" s="522" t="s">
        <v>1718</v>
      </c>
      <c r="F6" s="522">
        <v>2</v>
      </c>
      <c r="G6" s="522" t="s">
        <v>1661</v>
      </c>
      <c r="H6" s="529">
        <v>90</v>
      </c>
      <c r="I6" s="522" t="s">
        <v>1532</v>
      </c>
      <c r="J6" s="522">
        <v>2.6</v>
      </c>
      <c r="K6" s="522">
        <v>848</v>
      </c>
      <c r="L6" s="522">
        <v>0</v>
      </c>
      <c r="M6" s="522">
        <v>1</v>
      </c>
      <c r="N6" s="522">
        <v>145</v>
      </c>
      <c r="O6" s="522">
        <v>0</v>
      </c>
      <c r="P6" s="522">
        <v>0</v>
      </c>
      <c r="Q6" s="522">
        <v>10</v>
      </c>
      <c r="R6" s="522">
        <v>8</v>
      </c>
      <c r="S6" s="522">
        <v>18</v>
      </c>
      <c r="T6" s="522">
        <v>280</v>
      </c>
      <c r="U6" s="522">
        <v>3</v>
      </c>
      <c r="V6" s="522">
        <v>15</v>
      </c>
      <c r="W6" s="522">
        <v>191</v>
      </c>
      <c r="X6" s="529">
        <f>Техкарта6[[#This Row],[Масса]]/Техкарта6[[#This Row],[Кільк-сть дерев]]</f>
        <v>0.79127358490566035</v>
      </c>
      <c r="Y6" s="529">
        <f>SUM(Техкарта6[[#This Row],[Знач1]:[Знач12]])</f>
        <v>671</v>
      </c>
      <c r="Z6" s="529">
        <f>(Техкарта6[[#This Row],[Нелеквид]]+Техкарта6[[#This Row],[Масса]])/Техкарта6[[#This Row],[Площа,га]]</f>
        <v>272.69230769230768</v>
      </c>
      <c r="AA6" s="529">
        <v>82.662999999999997</v>
      </c>
      <c r="AB6" s="529">
        <v>32.786000000000001</v>
      </c>
      <c r="AC6" s="522">
        <v>38</v>
      </c>
      <c r="AE6" s="529" t="e">
        <v>#REF!</v>
      </c>
      <c r="AF6" s="522">
        <v>1</v>
      </c>
      <c r="AG6" s="522">
        <v>43101</v>
      </c>
      <c r="AJ6" s="530">
        <v>43102</v>
      </c>
      <c r="AL6" s="533" t="s">
        <v>927</v>
      </c>
      <c r="AO6" s="529">
        <f>Техкарта6[[#This Row],[Масса]]*Техкарта6[[#This Row],[Витрати кбм]]</f>
        <v>55466.873</v>
      </c>
      <c r="AP6" s="522">
        <v>556620</v>
      </c>
      <c r="AQ6" s="523" t="s">
        <v>1719</v>
      </c>
      <c r="AY6" s="522" t="s">
        <v>1720</v>
      </c>
      <c r="BB6" s="522" t="s">
        <v>1726</v>
      </c>
      <c r="BC6" s="529">
        <f>MONTH(Техкарта6[[#This Row],[Дата ЛК]])</f>
        <v>12</v>
      </c>
      <c r="BE6" s="487">
        <v>5</v>
      </c>
      <c r="BF6" s="488">
        <v>40</v>
      </c>
      <c r="BG6" s="531" t="s">
        <v>1764</v>
      </c>
      <c r="BH6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6" s="522">
        <v>4</v>
      </c>
      <c r="BK6" s="529" t="str">
        <f>Техкарта6[[#This Row],[Кв-л]]&amp;" кв ("&amp;Substring(Техкарта6[[#This Row],[Виділ]],"_",1)&amp;" вид) "&amp;Substring(Техкарта6[[#This Row],[Виділ]],"_",2)&amp;" діл."</f>
        <v>90 кв (6 вид) 1 діл.</v>
      </c>
      <c r="BL6" s="529" t="str">
        <f>Техкарта6[[#This Row],[ПолнаяДіл]] &amp;" "&amp;Техкарта6[[#This Row],[ЛК]]</f>
        <v>90 кв (6 вид) 1 діл. 556620</v>
      </c>
      <c r="BM6" s="529">
        <f>MONTH(Техкарта6[[#This Row],[Дата начала робіт договору]])</f>
        <v>1</v>
      </c>
      <c r="BN6" s="529" t="s">
        <v>1765</v>
      </c>
      <c r="BO6" s="529" t="s">
        <v>1765</v>
      </c>
      <c r="BP6" s="529" t="s">
        <v>1765</v>
      </c>
      <c r="BQ6" s="522" t="s">
        <v>31</v>
      </c>
    </row>
    <row r="7" spans="1:69">
      <c r="A7" s="522" t="s">
        <v>31</v>
      </c>
      <c r="B7" s="522" t="s">
        <v>85</v>
      </c>
      <c r="C7" s="528" t="s">
        <v>31</v>
      </c>
      <c r="D7" s="522">
        <v>0</v>
      </c>
      <c r="E7" s="522" t="s">
        <v>1716</v>
      </c>
      <c r="F7" s="522">
        <v>2</v>
      </c>
      <c r="G7" s="522" t="s">
        <v>1661</v>
      </c>
      <c r="H7" s="529">
        <v>84</v>
      </c>
      <c r="I7" s="522" t="s">
        <v>1686</v>
      </c>
      <c r="J7" s="522">
        <v>2.1</v>
      </c>
      <c r="K7" s="522">
        <v>1532</v>
      </c>
      <c r="L7" s="522">
        <v>0</v>
      </c>
      <c r="M7" s="522">
        <v>20</v>
      </c>
      <c r="N7" s="522">
        <v>318</v>
      </c>
      <c r="O7" s="522">
        <v>0</v>
      </c>
      <c r="P7" s="522">
        <v>0</v>
      </c>
      <c r="Q7" s="522">
        <v>0</v>
      </c>
      <c r="R7" s="522">
        <v>0</v>
      </c>
      <c r="S7" s="522">
        <v>70</v>
      </c>
      <c r="T7" s="522">
        <v>321</v>
      </c>
      <c r="U7" s="522">
        <v>0</v>
      </c>
      <c r="V7" s="522">
        <v>57</v>
      </c>
      <c r="W7" s="522">
        <v>224</v>
      </c>
      <c r="X7" s="529">
        <f>Техкарта6[[#This Row],[Масса]]/Техкарта6[[#This Row],[Кільк-сть дерев]]</f>
        <v>0.65926892950391647</v>
      </c>
      <c r="Y7" s="529">
        <f>SUM(Техкарта6[[#This Row],[Знач1]:[Знач12]])</f>
        <v>1010</v>
      </c>
      <c r="Z7" s="529">
        <f>(Техкарта6[[#This Row],[Нелеквид]]+Техкарта6[[#This Row],[Масса]])/Техкарта6[[#This Row],[Площа,га]]</f>
        <v>512.85714285714289</v>
      </c>
      <c r="AA7" s="529">
        <v>75.16</v>
      </c>
      <c r="AB7" s="529">
        <v>34.118000000000002</v>
      </c>
      <c r="AC7" s="522">
        <v>67</v>
      </c>
      <c r="AE7" s="529" t="e">
        <v>#REF!</v>
      </c>
      <c r="AF7" s="522">
        <v>1</v>
      </c>
      <c r="AG7" s="522">
        <v>43101</v>
      </c>
      <c r="AJ7" s="530">
        <v>43102</v>
      </c>
      <c r="AL7" s="535" t="s">
        <v>931</v>
      </c>
      <c r="AO7" s="529">
        <f>Техкарта6[[#This Row],[Масса]]*Техкарта6[[#This Row],[Витрати кбм]]</f>
        <v>75911.599999999991</v>
      </c>
      <c r="AP7" s="522">
        <v>556621</v>
      </c>
      <c r="AQ7" s="523">
        <v>43077</v>
      </c>
      <c r="AY7" s="522" t="s">
        <v>1717</v>
      </c>
      <c r="BB7" s="522" t="s">
        <v>1727</v>
      </c>
      <c r="BC7" s="529">
        <f>MONTH(Техкарта6[[#This Row],[Дата ЛК]])</f>
        <v>12</v>
      </c>
      <c r="BE7" s="487">
        <v>5</v>
      </c>
      <c r="BF7" s="488">
        <v>40</v>
      </c>
      <c r="BG7" s="531" t="s">
        <v>1764</v>
      </c>
      <c r="BH7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7" s="522">
        <v>1</v>
      </c>
      <c r="BK7" s="490" t="str">
        <f>Техкарта6[[#This Row],[Кв-л]]&amp;" кв ("&amp;Substring(Техкарта6[[#This Row],[Виділ]],"_",1)&amp;" вид) "&amp;Substring(Техкарта6[[#This Row],[Виділ]],"_",2)&amp;" діл."</f>
        <v>84 кв (11 вид) 0 діл.</v>
      </c>
      <c r="BL7" s="529" t="str">
        <f>Техкарта6[[#This Row],[ПолнаяДіл]] &amp;" "&amp;Техкарта6[[#This Row],[ЛК]]</f>
        <v>84 кв (11 вид) 0 діл. 556621</v>
      </c>
      <c r="BM7" s="529">
        <f>MONTH(Техкарта6[[#This Row],[Дата начала робіт договору]])</f>
        <v>1</v>
      </c>
      <c r="BN7" s="529" t="s">
        <v>1765</v>
      </c>
      <c r="BO7" s="529" t="s">
        <v>1765</v>
      </c>
      <c r="BP7" s="529" t="s">
        <v>1765</v>
      </c>
      <c r="BQ7" s="522" t="s">
        <v>31</v>
      </c>
    </row>
    <row r="8" spans="1:69">
      <c r="A8" s="522" t="s">
        <v>31</v>
      </c>
      <c r="B8" s="522" t="s">
        <v>85</v>
      </c>
      <c r="C8" s="528" t="s">
        <v>31</v>
      </c>
      <c r="D8" s="522">
        <v>0</v>
      </c>
      <c r="E8" s="522" t="s">
        <v>1718</v>
      </c>
      <c r="F8" s="522">
        <v>3</v>
      </c>
      <c r="G8" s="522" t="s">
        <v>1661</v>
      </c>
      <c r="H8" s="529">
        <v>85</v>
      </c>
      <c r="I8" s="522" t="s">
        <v>1685</v>
      </c>
      <c r="J8" s="522">
        <v>1.4</v>
      </c>
      <c r="K8" s="522">
        <v>1393</v>
      </c>
      <c r="L8" s="522">
        <v>0</v>
      </c>
      <c r="M8" s="522">
        <v>0</v>
      </c>
      <c r="N8" s="522">
        <v>65</v>
      </c>
      <c r="O8" s="522">
        <v>0</v>
      </c>
      <c r="P8" s="522">
        <v>0</v>
      </c>
      <c r="Q8" s="522">
        <v>0</v>
      </c>
      <c r="R8" s="522">
        <v>1</v>
      </c>
      <c r="S8" s="522">
        <v>0</v>
      </c>
      <c r="T8" s="522">
        <v>246</v>
      </c>
      <c r="U8" s="522">
        <v>0</v>
      </c>
      <c r="V8" s="522">
        <v>0</v>
      </c>
      <c r="W8" s="522">
        <v>165</v>
      </c>
      <c r="X8" s="529">
        <f>Техкарта6[[#This Row],[Масса]]/Техкарта6[[#This Row],[Кільк-сть дерев]]</f>
        <v>0.34242641780330224</v>
      </c>
      <c r="Y8" s="529">
        <f>SUM(Техкарта6[[#This Row],[Знач1]:[Знач12]])</f>
        <v>477</v>
      </c>
      <c r="Z8" s="529">
        <f>(Техкарта6[[#This Row],[Нелеквид]]+Техкарта6[[#This Row],[Масса]])/Техкарта6[[#This Row],[Площа,га]]</f>
        <v>369.28571428571433</v>
      </c>
      <c r="AA8" s="529">
        <v>113.625</v>
      </c>
      <c r="AB8" s="529">
        <v>58.695</v>
      </c>
      <c r="AC8" s="522">
        <v>40</v>
      </c>
      <c r="AE8" s="529" t="e">
        <v>#REF!</v>
      </c>
      <c r="AF8" s="522">
        <v>1</v>
      </c>
      <c r="AG8" s="522">
        <v>43101</v>
      </c>
      <c r="AJ8" s="530">
        <v>43102</v>
      </c>
      <c r="AL8" s="535" t="s">
        <v>931</v>
      </c>
      <c r="AO8" s="529">
        <f>Техкарта6[[#This Row],[Масса]]*Техкарта6[[#This Row],[Витрати кбм]]</f>
        <v>54199.125</v>
      </c>
      <c r="AP8" s="522">
        <v>556621</v>
      </c>
      <c r="AQ8" s="523">
        <v>43077</v>
      </c>
      <c r="AY8" s="522" t="s">
        <v>1717</v>
      </c>
      <c r="BB8" s="522" t="s">
        <v>1727</v>
      </c>
      <c r="BC8" s="529">
        <f>MONTH(Техкарта6[[#This Row],[Дата ЛК]])</f>
        <v>12</v>
      </c>
      <c r="BE8" s="487">
        <v>5</v>
      </c>
      <c r="BF8" s="488">
        <v>40</v>
      </c>
      <c r="BG8" s="531" t="s">
        <v>1764</v>
      </c>
      <c r="BH8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8" s="522">
        <v>2</v>
      </c>
      <c r="BK8" s="529" t="str">
        <f>Техкарта6[[#This Row],[Кв-л]]&amp;" кв ("&amp;Substring(Техкарта6[[#This Row],[Виділ]],"_",1)&amp;" вид) "&amp;Substring(Техкарта6[[#This Row],[Виділ]],"_",2)&amp;" діл."</f>
        <v>85 кв (7 вид) 0 діл.</v>
      </c>
      <c r="BL8" s="529" t="str">
        <f>Техкарта6[[#This Row],[ПолнаяДіл]] &amp;" "&amp;Техкарта6[[#This Row],[ЛК]]</f>
        <v>85 кв (7 вид) 0 діл. 556621</v>
      </c>
      <c r="BM8" s="529">
        <f>MONTH(Техкарта6[[#This Row],[Дата начала робіт договору]])</f>
        <v>1</v>
      </c>
      <c r="BN8" s="529" t="s">
        <v>1765</v>
      </c>
      <c r="BO8" s="529" t="s">
        <v>1765</v>
      </c>
      <c r="BP8" s="529" t="s">
        <v>1765</v>
      </c>
      <c r="BQ8" s="522" t="s">
        <v>31</v>
      </c>
    </row>
    <row r="9" spans="1:69">
      <c r="A9" s="522" t="s">
        <v>31</v>
      </c>
      <c r="B9" s="522" t="s">
        <v>132</v>
      </c>
      <c r="C9" s="528" t="s">
        <v>31</v>
      </c>
      <c r="D9" s="522">
        <v>0</v>
      </c>
      <c r="E9" s="522" t="s">
        <v>1718</v>
      </c>
      <c r="F9" s="522">
        <v>2</v>
      </c>
      <c r="G9" s="522" t="s">
        <v>1661</v>
      </c>
      <c r="H9" s="529">
        <v>54</v>
      </c>
      <c r="I9" s="522" t="s">
        <v>1688</v>
      </c>
      <c r="J9" s="522">
        <v>4.3</v>
      </c>
      <c r="K9" s="522">
        <v>2002</v>
      </c>
      <c r="L9" s="522">
        <v>0</v>
      </c>
      <c r="M9" s="522">
        <v>0</v>
      </c>
      <c r="N9" s="522">
        <v>678</v>
      </c>
      <c r="O9" s="522">
        <v>0</v>
      </c>
      <c r="P9" s="522">
        <v>0</v>
      </c>
      <c r="Q9" s="522">
        <v>55</v>
      </c>
      <c r="R9" s="522">
        <v>49</v>
      </c>
      <c r="S9" s="522">
        <v>2</v>
      </c>
      <c r="T9" s="522">
        <v>520</v>
      </c>
      <c r="U9" s="522">
        <v>17</v>
      </c>
      <c r="V9" s="522">
        <v>2</v>
      </c>
      <c r="W9" s="522">
        <v>351</v>
      </c>
      <c r="X9" s="529">
        <f>Техкарта6[[#This Row],[Масса]]/Техкарта6[[#This Row],[Кільк-сть дерев]]</f>
        <v>0.83616383616383616</v>
      </c>
      <c r="Y9" s="529">
        <f>SUM(Техкарта6[[#This Row],[Знач1]:[Знач12]])</f>
        <v>1674</v>
      </c>
      <c r="Z9" s="529">
        <f>(Техкарта6[[#This Row],[Нелеквид]]+Техкарта6[[#This Row],[Масса]])/Техкарта6[[#This Row],[Площа,га]]</f>
        <v>413.48837209302326</v>
      </c>
      <c r="AA9" s="529">
        <v>68.474999999999994</v>
      </c>
      <c r="AB9" s="529">
        <v>29.978000000000002</v>
      </c>
      <c r="AC9" s="522">
        <v>104</v>
      </c>
      <c r="AE9" s="529" t="e">
        <v>#REF!</v>
      </c>
      <c r="AF9" s="522">
        <v>1</v>
      </c>
      <c r="AG9" s="522">
        <v>43101</v>
      </c>
      <c r="AJ9" s="530">
        <v>43102</v>
      </c>
      <c r="AL9" s="533" t="s">
        <v>888</v>
      </c>
      <c r="AO9" s="529">
        <f>Техкарта6[[#This Row],[Масса]]*Техкарта6[[#This Row],[Витрати кбм]]</f>
        <v>114627.15</v>
      </c>
      <c r="AP9" s="522">
        <v>556617</v>
      </c>
      <c r="AQ9" s="523" t="s">
        <v>1719</v>
      </c>
      <c r="AY9" s="522" t="s">
        <v>1720</v>
      </c>
      <c r="BB9" s="522" t="s">
        <v>1726</v>
      </c>
      <c r="BC9" s="529">
        <f>MONTH(Техкарта6[[#This Row],[Дата ЛК]])</f>
        <v>12</v>
      </c>
      <c r="BE9" s="487">
        <v>5</v>
      </c>
      <c r="BF9" s="488">
        <v>40</v>
      </c>
      <c r="BG9" s="531" t="s">
        <v>1764</v>
      </c>
      <c r="BH9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9" s="522">
        <v>1</v>
      </c>
      <c r="BK9" s="529" t="str">
        <f>Техкарта6[[#This Row],[Кв-л]]&amp;" кв ("&amp;Substring(Техкарта6[[#This Row],[Виділ]],"_",1)&amp;" вид) "&amp;Substring(Техкарта6[[#This Row],[Виділ]],"_",2)&amp;" діл."</f>
        <v>54 кв (9 вид) 0 діл.</v>
      </c>
      <c r="BL9" s="529" t="str">
        <f>Техкарта6[[#This Row],[ПолнаяДіл]] &amp;" "&amp;Техкарта6[[#This Row],[ЛК]]</f>
        <v>54 кв (9 вид) 0 діл. 556617</v>
      </c>
      <c r="BM9" s="529">
        <f>MONTH(Техкарта6[[#This Row],[Дата начала робіт договору]])</f>
        <v>1</v>
      </c>
      <c r="BN9" s="529" t="s">
        <v>1765</v>
      </c>
      <c r="BO9" s="529" t="s">
        <v>1765</v>
      </c>
      <c r="BP9" s="529" t="s">
        <v>1765</v>
      </c>
      <c r="BQ9" s="522" t="s">
        <v>31</v>
      </c>
    </row>
    <row r="10" spans="1:69">
      <c r="A10" s="522" t="s">
        <v>31</v>
      </c>
      <c r="B10" s="522" t="s">
        <v>132</v>
      </c>
      <c r="C10" s="528" t="s">
        <v>31</v>
      </c>
      <c r="D10" s="522">
        <v>0</v>
      </c>
      <c r="E10" s="522" t="s">
        <v>1716</v>
      </c>
      <c r="F10" s="522">
        <v>2</v>
      </c>
      <c r="G10" s="522" t="s">
        <v>1661</v>
      </c>
      <c r="H10" s="529">
        <v>76</v>
      </c>
      <c r="I10" s="522" t="s">
        <v>1663</v>
      </c>
      <c r="J10" s="522">
        <v>1</v>
      </c>
      <c r="K10" s="522">
        <v>490</v>
      </c>
      <c r="L10" s="522">
        <v>0</v>
      </c>
      <c r="M10" s="522">
        <v>0</v>
      </c>
      <c r="N10" s="522">
        <v>103</v>
      </c>
      <c r="O10" s="522">
        <v>0</v>
      </c>
      <c r="P10" s="522">
        <v>0</v>
      </c>
      <c r="Q10" s="522">
        <v>0</v>
      </c>
      <c r="R10" s="522">
        <v>9</v>
      </c>
      <c r="S10" s="522">
        <v>1</v>
      </c>
      <c r="T10" s="522">
        <v>135</v>
      </c>
      <c r="U10" s="522">
        <v>3</v>
      </c>
      <c r="V10" s="522">
        <v>1</v>
      </c>
      <c r="W10" s="522">
        <v>96</v>
      </c>
      <c r="X10" s="529">
        <f>Техкарта6[[#This Row],[Масса]]/Техкарта6[[#This Row],[Кільк-сть дерев]]</f>
        <v>0.71020408163265303</v>
      </c>
      <c r="Y10" s="529">
        <f>SUM(Техкарта6[[#This Row],[Знач1]:[Знач12]])</f>
        <v>348</v>
      </c>
      <c r="Z10" s="529">
        <f>(Техкарта6[[#This Row],[Нелеквид]]+Техкарта6[[#This Row],[Масса]])/Техкарта6[[#This Row],[Площа,га]]</f>
        <v>373</v>
      </c>
      <c r="AA10" s="529">
        <v>78.534999999999997</v>
      </c>
      <c r="AB10" s="529">
        <v>34.244999999999997</v>
      </c>
      <c r="AC10" s="522">
        <v>25</v>
      </c>
      <c r="AE10" s="529" t="e">
        <v>#REF!</v>
      </c>
      <c r="AF10" s="522">
        <v>1</v>
      </c>
      <c r="AG10" s="522">
        <v>43101</v>
      </c>
      <c r="AJ10" s="530">
        <v>43102</v>
      </c>
      <c r="AL10" s="533" t="s">
        <v>888</v>
      </c>
      <c r="AO10" s="529">
        <f>Техкарта6[[#This Row],[Масса]]*Техкарта6[[#This Row],[Витрати кбм]]</f>
        <v>27330.18</v>
      </c>
      <c r="AP10" s="522">
        <v>556617</v>
      </c>
      <c r="AQ10" s="523" t="s">
        <v>1719</v>
      </c>
      <c r="AY10" s="522" t="s">
        <v>1720</v>
      </c>
      <c r="BB10" s="522" t="s">
        <v>1726</v>
      </c>
      <c r="BC10" s="529">
        <f>MONTH(Техкарта6[[#This Row],[Дата ЛК]])</f>
        <v>12</v>
      </c>
      <c r="BE10" s="487">
        <v>5</v>
      </c>
      <c r="BF10" s="488">
        <v>40</v>
      </c>
      <c r="BG10" s="531" t="s">
        <v>1764</v>
      </c>
      <c r="BH10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0" s="522">
        <v>2</v>
      </c>
      <c r="BK10" s="529" t="str">
        <f>Техкарта6[[#This Row],[Кв-л]]&amp;" кв ("&amp;Substring(Техкарта6[[#This Row],[Виділ]],"_",1)&amp;" вид) "&amp;Substring(Техкарта6[[#This Row],[Виділ]],"_",2)&amp;" діл."</f>
        <v>76 кв (5 вид) 1 діл.</v>
      </c>
      <c r="BL10" s="529" t="str">
        <f>Техкарта6[[#This Row],[ПолнаяДіл]] &amp;" "&amp;Техкарта6[[#This Row],[ЛК]]</f>
        <v>76 кв (5 вид) 1 діл. 556617</v>
      </c>
      <c r="BM10" s="529">
        <f>MONTH(Техкарта6[[#This Row],[Дата начала робіт договору]])</f>
        <v>1</v>
      </c>
      <c r="BN10" s="529" t="s">
        <v>1765</v>
      </c>
      <c r="BO10" s="529" t="s">
        <v>1765</v>
      </c>
      <c r="BP10" s="529" t="s">
        <v>1765</v>
      </c>
      <c r="BQ10" s="522" t="s">
        <v>31</v>
      </c>
    </row>
    <row r="11" spans="1:69">
      <c r="A11" s="522" t="s">
        <v>31</v>
      </c>
      <c r="B11" s="522" t="s">
        <v>177</v>
      </c>
      <c r="C11" s="528" t="s">
        <v>31</v>
      </c>
      <c r="D11" s="522">
        <v>0</v>
      </c>
      <c r="E11" s="522" t="s">
        <v>1716</v>
      </c>
      <c r="F11" s="522">
        <v>3</v>
      </c>
      <c r="G11" s="522" t="s">
        <v>1661</v>
      </c>
      <c r="H11" s="529">
        <v>65</v>
      </c>
      <c r="I11" s="522" t="s">
        <v>1532</v>
      </c>
      <c r="J11" s="522">
        <v>3.5</v>
      </c>
      <c r="K11" s="522">
        <v>1317</v>
      </c>
      <c r="L11" s="522">
        <v>0</v>
      </c>
      <c r="M11" s="522">
        <v>0</v>
      </c>
      <c r="N11" s="522">
        <v>322</v>
      </c>
      <c r="O11" s="522">
        <v>0</v>
      </c>
      <c r="P11" s="522">
        <v>0</v>
      </c>
      <c r="Q11" s="522">
        <v>20</v>
      </c>
      <c r="R11" s="522">
        <v>83</v>
      </c>
      <c r="S11" s="522">
        <v>0</v>
      </c>
      <c r="T11" s="522">
        <v>176</v>
      </c>
      <c r="U11" s="522">
        <v>28</v>
      </c>
      <c r="V11" s="522">
        <v>0</v>
      </c>
      <c r="W11" s="522">
        <v>120</v>
      </c>
      <c r="X11" s="529">
        <f>Техкарта6[[#This Row],[Масса]]/Техкарта6[[#This Row],[Кільк-сть дерев]]</f>
        <v>0.56871678056188302</v>
      </c>
      <c r="Y11" s="529">
        <f>SUM(Техкарта6[[#This Row],[Знач1]:[Знач12]])</f>
        <v>749</v>
      </c>
      <c r="Z11" s="529">
        <f>(Техкарта6[[#This Row],[Нелеквид]]+Техкарта6[[#This Row],[Масса]])/Техкарта6[[#This Row],[Площа,га]]</f>
        <v>232</v>
      </c>
      <c r="AA11" s="529">
        <v>88.450999999999993</v>
      </c>
      <c r="AB11" s="529">
        <v>44.612000000000002</v>
      </c>
      <c r="AC11" s="522">
        <v>63</v>
      </c>
      <c r="AE11" s="529" t="e">
        <v>#REF!</v>
      </c>
      <c r="AF11" s="522">
        <v>1</v>
      </c>
      <c r="AG11" s="522">
        <v>43101</v>
      </c>
      <c r="AJ11" s="530">
        <v>43102</v>
      </c>
      <c r="AL11" s="522" t="s">
        <v>913</v>
      </c>
      <c r="AO11" s="529">
        <f>Техкарта6[[#This Row],[Масса]]*Техкарта6[[#This Row],[Витрати кбм]]</f>
        <v>66249.798999999999</v>
      </c>
      <c r="AP11" s="522">
        <v>556619</v>
      </c>
      <c r="AQ11" s="523">
        <v>43077</v>
      </c>
      <c r="AY11" s="522" t="s">
        <v>1717</v>
      </c>
      <c r="BB11" s="522" t="s">
        <v>1727</v>
      </c>
      <c r="BC11" s="529">
        <f>MONTH(Техкарта6[[#This Row],[Дата ЛК]])</f>
        <v>12</v>
      </c>
      <c r="BE11" s="487">
        <v>5</v>
      </c>
      <c r="BF11" s="488">
        <v>40</v>
      </c>
      <c r="BG11" s="531" t="s">
        <v>1764</v>
      </c>
      <c r="BH11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1" s="522">
        <v>1</v>
      </c>
      <c r="BK11" s="529" t="str">
        <f>Техкарта6[[#This Row],[Кв-л]]&amp;" кв ("&amp;Substring(Техкарта6[[#This Row],[Виділ]],"_",1)&amp;" вид) "&amp;Substring(Техкарта6[[#This Row],[Виділ]],"_",2)&amp;" діл."</f>
        <v>65 кв (6 вид) 1 діл.</v>
      </c>
      <c r="BL11" s="529" t="str">
        <f>Техкарта6[[#This Row],[ПолнаяДіл]] &amp;" "&amp;Техкарта6[[#This Row],[ЛК]]</f>
        <v>65 кв (6 вид) 1 діл. 556619</v>
      </c>
      <c r="BM11" s="529">
        <f>MONTH(Техкарта6[[#This Row],[Дата начала робіт договору]])</f>
        <v>1</v>
      </c>
      <c r="BN11" s="529" t="s">
        <v>1765</v>
      </c>
      <c r="BO11" s="529" t="s">
        <v>1765</v>
      </c>
      <c r="BP11" s="529" t="s">
        <v>1765</v>
      </c>
      <c r="BQ11" s="522" t="s">
        <v>31</v>
      </c>
    </row>
    <row r="12" spans="1:69">
      <c r="A12" s="522" t="s">
        <v>31</v>
      </c>
      <c r="B12" s="522" t="s">
        <v>216</v>
      </c>
      <c r="C12" s="528" t="s">
        <v>31</v>
      </c>
      <c r="D12" s="522">
        <v>0</v>
      </c>
      <c r="E12" s="522" t="s">
        <v>1716</v>
      </c>
      <c r="F12" s="522">
        <v>3</v>
      </c>
      <c r="G12" s="522" t="s">
        <v>1661</v>
      </c>
      <c r="H12" s="529">
        <v>59</v>
      </c>
      <c r="I12" s="522" t="s">
        <v>1721</v>
      </c>
      <c r="J12" s="522">
        <v>2.7</v>
      </c>
      <c r="K12" s="522">
        <v>1597</v>
      </c>
      <c r="L12" s="522">
        <v>0</v>
      </c>
      <c r="M12" s="522">
        <v>19</v>
      </c>
      <c r="N12" s="522">
        <v>329</v>
      </c>
      <c r="O12" s="522">
        <v>0</v>
      </c>
      <c r="P12" s="522">
        <v>0</v>
      </c>
      <c r="Q12" s="522">
        <v>0</v>
      </c>
      <c r="R12" s="522">
        <v>91</v>
      </c>
      <c r="S12" s="522">
        <v>23</v>
      </c>
      <c r="T12" s="522">
        <v>224</v>
      </c>
      <c r="U12" s="522">
        <v>30</v>
      </c>
      <c r="V12" s="522">
        <v>19</v>
      </c>
      <c r="W12" s="522">
        <v>151</v>
      </c>
      <c r="X12" s="529">
        <f>Техкарта6[[#This Row],[Масса]]/Техкарта6[[#This Row],[Кільк-сть дерев]]</f>
        <v>0.55479023168440822</v>
      </c>
      <c r="Y12" s="529">
        <f>SUM(Техкарта6[[#This Row],[Знач1]:[Знач12]])</f>
        <v>886</v>
      </c>
      <c r="Z12" s="529">
        <f>(Техкарта6[[#This Row],[Нелеквид]]+Техкарта6[[#This Row],[Масса]])/Техкарта6[[#This Row],[Площа,га]]</f>
        <v>352.22222222222217</v>
      </c>
      <c r="AA12" s="529">
        <v>82.95</v>
      </c>
      <c r="AB12" s="529">
        <v>41.622999999999998</v>
      </c>
      <c r="AC12" s="522">
        <v>65</v>
      </c>
      <c r="AE12" s="529" t="e">
        <v>#REF!</v>
      </c>
      <c r="AF12" s="522">
        <v>1</v>
      </c>
      <c r="AG12" s="522">
        <v>43101</v>
      </c>
      <c r="AJ12" s="530">
        <v>43102</v>
      </c>
      <c r="AL12" s="533" t="s">
        <v>929</v>
      </c>
      <c r="AO12" s="529">
        <f>Техкарта6[[#This Row],[Масса]]*Техкарта6[[#This Row],[Витрати кбм]]</f>
        <v>73493.7</v>
      </c>
      <c r="AP12" s="522">
        <v>556618</v>
      </c>
      <c r="AQ12" s="523" t="s">
        <v>1719</v>
      </c>
      <c r="AY12" s="522" t="s">
        <v>1720</v>
      </c>
      <c r="BB12" s="522" t="s">
        <v>1726</v>
      </c>
      <c r="BC12" s="529">
        <f>MONTH(Техкарта6[[#This Row],[Дата ЛК]])</f>
        <v>12</v>
      </c>
      <c r="BE12" s="487">
        <v>5</v>
      </c>
      <c r="BF12" s="488">
        <v>40</v>
      </c>
      <c r="BG12" s="531" t="s">
        <v>1764</v>
      </c>
      <c r="BH1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2" s="522">
        <v>1</v>
      </c>
      <c r="BK12" s="529" t="str">
        <f>Техкарта6[[#This Row],[Кв-л]]&amp;" кв ("&amp;Substring(Техкарта6[[#This Row],[Виділ]],"_",1)&amp;" вид) "&amp;Substring(Техкарта6[[#This Row],[Виділ]],"_",2)&amp;" діл."</f>
        <v>59 кв (8 вид) 2 діл.</v>
      </c>
      <c r="BL12" s="529" t="str">
        <f>Техкарта6[[#This Row],[ПолнаяДіл]] &amp;" "&amp;Техкарта6[[#This Row],[ЛК]]</f>
        <v>59 кв (8 вид) 2 діл. 556618</v>
      </c>
      <c r="BM12" s="529">
        <f>MONTH(Техкарта6[[#This Row],[Дата начала робіт договору]])</f>
        <v>1</v>
      </c>
      <c r="BN12" s="529" t="s">
        <v>1765</v>
      </c>
      <c r="BO12" s="529" t="s">
        <v>1765</v>
      </c>
      <c r="BP12" s="529" t="s">
        <v>1765</v>
      </c>
      <c r="BQ12" s="522" t="s">
        <v>31</v>
      </c>
    </row>
    <row r="13" spans="1:69">
      <c r="A13" s="522" t="s">
        <v>31</v>
      </c>
      <c r="B13" s="522" t="s">
        <v>216</v>
      </c>
      <c r="C13" s="528" t="s">
        <v>31</v>
      </c>
      <c r="D13" s="522">
        <v>0</v>
      </c>
      <c r="E13" s="522" t="s">
        <v>1716</v>
      </c>
      <c r="F13" s="522">
        <v>3</v>
      </c>
      <c r="G13" s="522" t="s">
        <v>1661</v>
      </c>
      <c r="H13" s="529">
        <v>85</v>
      </c>
      <c r="I13" s="522" t="s">
        <v>1715</v>
      </c>
      <c r="J13" s="522">
        <v>3</v>
      </c>
      <c r="K13" s="522">
        <v>1386</v>
      </c>
      <c r="L13" s="522">
        <v>0</v>
      </c>
      <c r="M13" s="522">
        <v>298</v>
      </c>
      <c r="N13" s="522">
        <v>12</v>
      </c>
      <c r="O13" s="522">
        <v>0</v>
      </c>
      <c r="P13" s="522">
        <v>0</v>
      </c>
      <c r="Q13" s="522">
        <v>0</v>
      </c>
      <c r="R13" s="522">
        <v>0</v>
      </c>
      <c r="S13" s="522">
        <v>94</v>
      </c>
      <c r="T13" s="522">
        <v>130</v>
      </c>
      <c r="U13" s="522">
        <v>0</v>
      </c>
      <c r="V13" s="522">
        <v>65</v>
      </c>
      <c r="W13" s="522">
        <v>94</v>
      </c>
      <c r="X13" s="529">
        <f>Техкарта6[[#This Row],[Масса]]/Техкарта6[[#This Row],[Кільк-сть дерев]]</f>
        <v>0.5</v>
      </c>
      <c r="Y13" s="529">
        <f>SUM(Техкарта6[[#This Row],[Знач1]:[Знач12]])</f>
        <v>693</v>
      </c>
      <c r="Z13" s="529">
        <f>(Техкарта6[[#This Row],[Нелеквид]]+Техкарта6[[#This Row],[Масса]])/Техкарта6[[#This Row],[Площа,га]]</f>
        <v>253.33333333333334</v>
      </c>
      <c r="AA13" s="529">
        <v>84.65</v>
      </c>
      <c r="AB13" s="529">
        <v>42.780999999999999</v>
      </c>
      <c r="AC13" s="522">
        <v>67</v>
      </c>
      <c r="AE13" s="529" t="e">
        <v>#REF!</v>
      </c>
      <c r="AF13" s="522">
        <v>1</v>
      </c>
      <c r="AG13" s="522">
        <v>43101</v>
      </c>
      <c r="AJ13" s="530">
        <v>43102</v>
      </c>
      <c r="AL13" s="533" t="s">
        <v>929</v>
      </c>
      <c r="AO13" s="529">
        <f>Техкарта6[[#This Row],[Масса]]*Техкарта6[[#This Row],[Витрати кбм]]</f>
        <v>58662.450000000004</v>
      </c>
      <c r="AP13" s="522">
        <v>556618</v>
      </c>
      <c r="AQ13" s="523" t="s">
        <v>1719</v>
      </c>
      <c r="AY13" s="522" t="s">
        <v>1720</v>
      </c>
      <c r="BB13" s="522" t="s">
        <v>1726</v>
      </c>
      <c r="BC13" s="529">
        <f>MONTH(Техкарта6[[#This Row],[Дата ЛК]])</f>
        <v>12</v>
      </c>
      <c r="BE13" s="487">
        <v>5</v>
      </c>
      <c r="BF13" s="488">
        <v>40</v>
      </c>
      <c r="BG13" s="531" t="s">
        <v>1764</v>
      </c>
      <c r="BH1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3" s="522">
        <v>2</v>
      </c>
      <c r="BK13" s="529" t="str">
        <f>Техкарта6[[#This Row],[Кв-л]]&amp;" кв ("&amp;Substring(Техкарта6[[#This Row],[Виділ]],"_",1)&amp;" вид) "&amp;Substring(Техкарта6[[#This Row],[Виділ]],"_",2)&amp;" діл."</f>
        <v>85 кв (24 вид) 0 діл.</v>
      </c>
      <c r="BL13" s="529" t="str">
        <f>Техкарта6[[#This Row],[ПолнаяДіл]] &amp;" "&amp;Техкарта6[[#This Row],[ЛК]]</f>
        <v>85 кв (24 вид) 0 діл. 556618</v>
      </c>
      <c r="BM13" s="529">
        <f>MONTH(Техкарта6[[#This Row],[Дата начала робіт договору]])</f>
        <v>1</v>
      </c>
      <c r="BN13" s="529" t="s">
        <v>1765</v>
      </c>
      <c r="BO13" s="529" t="s">
        <v>1765</v>
      </c>
      <c r="BP13" s="529" t="s">
        <v>1765</v>
      </c>
      <c r="BQ13" s="522" t="s">
        <v>31</v>
      </c>
    </row>
    <row r="14" spans="1:69">
      <c r="A14" s="522" t="s">
        <v>31</v>
      </c>
      <c r="B14" s="522" t="s">
        <v>296</v>
      </c>
      <c r="C14" s="528" t="s">
        <v>31</v>
      </c>
      <c r="D14" s="522">
        <v>0</v>
      </c>
      <c r="E14" s="522" t="s">
        <v>1718</v>
      </c>
      <c r="F14" s="522">
        <v>2</v>
      </c>
      <c r="G14" s="522" t="s">
        <v>1661</v>
      </c>
      <c r="H14" s="529">
        <v>121</v>
      </c>
      <c r="I14" s="522" t="s">
        <v>1692</v>
      </c>
      <c r="J14" s="522">
        <v>2.6</v>
      </c>
      <c r="K14" s="522">
        <v>982</v>
      </c>
      <c r="L14" s="522">
        <v>4</v>
      </c>
      <c r="M14" s="522">
        <v>23</v>
      </c>
      <c r="N14" s="522">
        <v>357</v>
      </c>
      <c r="O14" s="522">
        <v>0</v>
      </c>
      <c r="P14" s="522">
        <v>0</v>
      </c>
      <c r="Q14" s="522">
        <v>32</v>
      </c>
      <c r="R14" s="522">
        <v>96</v>
      </c>
      <c r="S14" s="522">
        <v>32</v>
      </c>
      <c r="T14" s="522">
        <v>201</v>
      </c>
      <c r="U14" s="522">
        <v>33</v>
      </c>
      <c r="V14" s="522">
        <v>26</v>
      </c>
      <c r="W14" s="522">
        <v>136</v>
      </c>
      <c r="X14" s="529">
        <f>Техкарта6[[#This Row],[Масса]]/Техкарта6[[#This Row],[Кільк-сть дерев]]</f>
        <v>0.95723014256619143</v>
      </c>
      <c r="Y14" s="529">
        <f>SUM(Техкарта6[[#This Row],[Знач1]:[Знач12]])</f>
        <v>940</v>
      </c>
      <c r="Z14" s="529">
        <f>(Техкарта6[[#This Row],[Нелеквид]]+Техкарта6[[#This Row],[Масса]])/Техкарта6[[#This Row],[Площа,га]]</f>
        <v>385</v>
      </c>
      <c r="AA14" s="529">
        <v>66.957999999999998</v>
      </c>
      <c r="AB14" s="529">
        <v>28.518000000000001</v>
      </c>
      <c r="AC14" s="522">
        <v>61</v>
      </c>
      <c r="AE14" s="529" t="e">
        <v>#REF!</v>
      </c>
      <c r="AF14" s="522">
        <v>1</v>
      </c>
      <c r="AG14" s="522">
        <v>43101</v>
      </c>
      <c r="AJ14" s="530">
        <v>43109</v>
      </c>
      <c r="AL14" s="533" t="s">
        <v>1025</v>
      </c>
      <c r="AO14" s="529">
        <f>Техкарта6[[#This Row],[Масса]]*Техкарта6[[#This Row],[Витрати кбм]]</f>
        <v>62940.52</v>
      </c>
      <c r="AP14" s="522">
        <v>556618</v>
      </c>
      <c r="AQ14" s="523" t="s">
        <v>1719</v>
      </c>
      <c r="AY14" s="522" t="s">
        <v>1722</v>
      </c>
      <c r="BB14" s="522" t="s">
        <v>1728</v>
      </c>
      <c r="BC14" s="529">
        <f>MONTH(Техкарта6[[#This Row],[Дата ЛК]])</f>
        <v>12</v>
      </c>
      <c r="BE14" s="487">
        <v>7</v>
      </c>
      <c r="BF14" s="488">
        <v>40</v>
      </c>
      <c r="BG14" s="531" t="s">
        <v>1764</v>
      </c>
      <c r="BH14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4" s="522">
        <v>1</v>
      </c>
      <c r="BK14" s="529" t="str">
        <f>Техкарта6[[#This Row],[Кв-л]]&amp;" кв ("&amp;Substring(Техкарта6[[#This Row],[Виділ]],"_",1)&amp;" вид) "&amp;Substring(Техкарта6[[#This Row],[Виділ]],"_",2)&amp;" діл."</f>
        <v>121 кв (1 вид) 2 діл.</v>
      </c>
      <c r="BL14" s="529" t="str">
        <f>Техкарта6[[#This Row],[ПолнаяДіл]] &amp;" "&amp;Техкарта6[[#This Row],[ЛК]]</f>
        <v>121 кв (1 вид) 2 діл. 556618</v>
      </c>
      <c r="BM14" s="529">
        <f>MONTH(Техкарта6[[#This Row],[Дата начала робіт договору]])</f>
        <v>1</v>
      </c>
      <c r="BN14" s="529" t="s">
        <v>1765</v>
      </c>
      <c r="BO14" s="529" t="s">
        <v>1765</v>
      </c>
      <c r="BP14" s="529" t="s">
        <v>1765</v>
      </c>
      <c r="BQ14" s="522" t="s">
        <v>31</v>
      </c>
    </row>
    <row r="15" spans="1:69">
      <c r="A15" s="522" t="s">
        <v>1269</v>
      </c>
      <c r="B15" s="522" t="s">
        <v>85</v>
      </c>
      <c r="C15" s="528" t="s">
        <v>1619</v>
      </c>
      <c r="D15" s="522">
        <v>0</v>
      </c>
      <c r="E15" s="522" t="s">
        <v>1749</v>
      </c>
      <c r="F15" s="522">
        <v>3</v>
      </c>
      <c r="G15" s="522" t="s">
        <v>1750</v>
      </c>
      <c r="H15" s="529">
        <v>97</v>
      </c>
      <c r="I15" s="522" t="s">
        <v>1684</v>
      </c>
      <c r="J15" s="522">
        <v>10</v>
      </c>
      <c r="K15" s="522">
        <v>3388</v>
      </c>
      <c r="M15" s="522">
        <v>177</v>
      </c>
      <c r="S15" s="522">
        <v>769</v>
      </c>
      <c r="V15" s="522">
        <v>200</v>
      </c>
      <c r="X15" s="529">
        <f>Техкарта6[[#This Row],[Масса]]/Техкарта6[[#This Row],[Кільк-сть дерев]]</f>
        <v>0.33825265643447461</v>
      </c>
      <c r="Y15" s="529">
        <f>SUM(Техкарта6[[#This Row],[Знач1]:[Знач12]])</f>
        <v>1146</v>
      </c>
      <c r="Z15" s="529">
        <f>(Техкарта6[[#This Row],[Нелеквид]]+Техкарта6[[#This Row],[Масса]])/Техкарта6[[#This Row],[Площа,га]]</f>
        <v>130.9</v>
      </c>
      <c r="AA15" s="529">
        <v>74.361999999999995</v>
      </c>
      <c r="AB15" s="529"/>
      <c r="AC15" s="522">
        <v>163</v>
      </c>
      <c r="AE15" s="529" t="e">
        <v>#REF!</v>
      </c>
      <c r="AF15" s="522">
        <v>1</v>
      </c>
      <c r="AG15" s="522">
        <v>43101</v>
      </c>
      <c r="AJ15" s="530">
        <v>43109</v>
      </c>
      <c r="AL15" s="533" t="s">
        <v>1713</v>
      </c>
      <c r="AO15" s="529">
        <f>Техкарта6[[#This Row],[Масса]]*Техкарта6[[#This Row],[Витрати кбм]]</f>
        <v>85218.851999999999</v>
      </c>
      <c r="AP15" s="522">
        <v>556632</v>
      </c>
      <c r="AQ15" s="523">
        <v>43102</v>
      </c>
      <c r="AY15" s="522" t="s">
        <v>1717</v>
      </c>
      <c r="BB15" s="522" t="s">
        <v>1727</v>
      </c>
      <c r="BC15" s="529">
        <f>MONTH(Техкарта6[[#This Row],[Дата ЛК]])</f>
        <v>1</v>
      </c>
      <c r="BE15" s="487"/>
      <c r="BF15" s="488"/>
      <c r="BG15" s="531"/>
      <c r="BH15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5" s="522">
        <v>8</v>
      </c>
      <c r="BK15" s="529" t="str">
        <f>Техкарта6[[#This Row],[Кв-л]]&amp;" кв ("&amp;Substring(Техкарта6[[#This Row],[Виділ]],"_",1)&amp;" вид) "&amp;Substring(Техкарта6[[#This Row],[Виділ]],"_",2)&amp;" діл."</f>
        <v>97 кв (10 вид) 0 діл.</v>
      </c>
      <c r="BL15" s="529" t="str">
        <f>Техкарта6[[#This Row],[ПолнаяДіл]] &amp;" "&amp;Техкарта6[[#This Row],[ЛК]]</f>
        <v>97 кв (10 вид) 0 діл. 556632</v>
      </c>
      <c r="BM15" s="529">
        <f>MONTH(Техкарта6[[#This Row],[Дата начала робіт договору]])</f>
        <v>1</v>
      </c>
      <c r="BN15" s="529"/>
      <c r="BO15" s="529"/>
      <c r="BP15" s="529"/>
      <c r="BQ15" s="529" t="s">
        <v>1269</v>
      </c>
    </row>
    <row r="16" spans="1:69">
      <c r="A16" s="522" t="s">
        <v>1269</v>
      </c>
      <c r="B16" s="522" t="s">
        <v>85</v>
      </c>
      <c r="C16" s="528" t="s">
        <v>1682</v>
      </c>
      <c r="D16" s="522">
        <v>0</v>
      </c>
      <c r="E16" s="522" t="s">
        <v>1749</v>
      </c>
      <c r="F16" s="522">
        <v>3</v>
      </c>
      <c r="G16" s="522" t="s">
        <v>1750</v>
      </c>
      <c r="H16" s="529">
        <v>38</v>
      </c>
      <c r="I16" s="522" t="s">
        <v>1664</v>
      </c>
      <c r="J16" s="522">
        <v>20.7</v>
      </c>
      <c r="K16" s="522">
        <v>976</v>
      </c>
      <c r="M16" s="522">
        <v>16</v>
      </c>
      <c r="S16" s="522">
        <v>757</v>
      </c>
      <c r="T16" s="522">
        <v>91</v>
      </c>
      <c r="V16" s="522">
        <v>0</v>
      </c>
      <c r="W16" s="522">
        <v>0</v>
      </c>
      <c r="X16" s="529">
        <f>Техкарта6[[#This Row],[Масса]]/Техкарта6[[#This Row],[Кільк-сть дерев]]</f>
        <v>0.88524590163934425</v>
      </c>
      <c r="Y16" s="529">
        <f>SUM(Техкарта6[[#This Row],[Знач1]:[Знач12]])</f>
        <v>864</v>
      </c>
      <c r="Z16" s="529">
        <f>(Техкарта6[[#This Row],[Нелеквид]]+Техкарта6[[#This Row],[Масса]])/Техкарта6[[#This Row],[Площа,га]]</f>
        <v>45.94202898550725</v>
      </c>
      <c r="AA16" s="529">
        <v>65.938000000000002</v>
      </c>
      <c r="AB16" s="529"/>
      <c r="AC16" s="522">
        <v>87</v>
      </c>
      <c r="AE16" s="529" t="e">
        <v>#REF!</v>
      </c>
      <c r="AF16" s="522">
        <v>1</v>
      </c>
      <c r="AG16" s="522">
        <v>43101</v>
      </c>
      <c r="AJ16" s="530">
        <v>43109</v>
      </c>
      <c r="AL16" s="533" t="s">
        <v>910</v>
      </c>
      <c r="AO16" s="529">
        <f>Техкарта6[[#This Row],[Масса]]*Техкарта6[[#This Row],[Витрати кбм]]</f>
        <v>56970.432000000001</v>
      </c>
      <c r="AP16" s="522">
        <v>556642</v>
      </c>
      <c r="AQ16" s="523">
        <v>43105</v>
      </c>
      <c r="AY16" s="522" t="s">
        <v>1717</v>
      </c>
      <c r="BB16" s="522" t="s">
        <v>1727</v>
      </c>
      <c r="BC16" s="529">
        <f>MONTH(Техкарта6[[#This Row],[Дата ЛК]])</f>
        <v>1</v>
      </c>
      <c r="BE16" s="487"/>
      <c r="BF16" s="488"/>
      <c r="BG16" s="531"/>
      <c r="BH16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6" s="522">
        <v>5</v>
      </c>
      <c r="BK16" s="529" t="str">
        <f>Техкарта6[[#This Row],[Кв-л]]&amp;" кв ("&amp;Substring(Техкарта6[[#This Row],[Виділ]],"_",1)&amp;" вид) "&amp;Substring(Техкарта6[[#This Row],[Виділ]],"_",2)&amp;" діл."</f>
        <v>38 кв (3 вид) 0 діл.</v>
      </c>
      <c r="BL16" s="529" t="str">
        <f>Техкарта6[[#This Row],[ПолнаяДіл]] &amp;" "&amp;Техкарта6[[#This Row],[ЛК]]</f>
        <v>38 кв (3 вид) 0 діл. 556642</v>
      </c>
      <c r="BM16" s="529">
        <f>MONTH(Техкарта6[[#This Row],[Дата начала робіт договору]])</f>
        <v>1</v>
      </c>
      <c r="BN16" s="529"/>
      <c r="BO16" s="529"/>
      <c r="BP16" s="529"/>
      <c r="BQ16" s="529" t="s">
        <v>1269</v>
      </c>
    </row>
    <row r="17" spans="1:69">
      <c r="A17" s="522" t="s">
        <v>1269</v>
      </c>
      <c r="B17" s="522" t="s">
        <v>85</v>
      </c>
      <c r="C17" s="528" t="s">
        <v>1682</v>
      </c>
      <c r="D17" s="522">
        <v>0</v>
      </c>
      <c r="E17" s="522" t="s">
        <v>1716</v>
      </c>
      <c r="F17" s="522">
        <v>3</v>
      </c>
      <c r="G17" s="522" t="s">
        <v>1750</v>
      </c>
      <c r="H17" s="529">
        <v>38</v>
      </c>
      <c r="I17" s="522" t="s">
        <v>1632</v>
      </c>
      <c r="J17" s="522">
        <v>2.9</v>
      </c>
      <c r="K17" s="522">
        <v>184</v>
      </c>
      <c r="M17" s="522">
        <v>4</v>
      </c>
      <c r="S17" s="522">
        <v>88</v>
      </c>
      <c r="T17" s="522">
        <v>32</v>
      </c>
      <c r="V17" s="522">
        <v>0</v>
      </c>
      <c r="W17" s="522">
        <v>0</v>
      </c>
      <c r="X17" s="529">
        <f>Техкарта6[[#This Row],[Масса]]/Техкарта6[[#This Row],[Кільк-сть дерев]]</f>
        <v>0.67391304347826086</v>
      </c>
      <c r="Y17" s="529">
        <f>SUM(Техкарта6[[#This Row],[Знач1]:[Знач12]])</f>
        <v>124</v>
      </c>
      <c r="Z17" s="529">
        <f>(Техкарта6[[#This Row],[Нелеквид]]+Техкарта6[[#This Row],[Масса]])/Техкарта6[[#This Row],[Площа,га]]</f>
        <v>46.551724137931039</v>
      </c>
      <c r="AA17" s="529">
        <v>68.632000000000005</v>
      </c>
      <c r="AB17" s="529"/>
      <c r="AC17" s="522">
        <v>11</v>
      </c>
      <c r="AE17" s="529" t="e">
        <v>#REF!</v>
      </c>
      <c r="AF17" s="522">
        <v>1</v>
      </c>
      <c r="AG17" s="522">
        <v>43101</v>
      </c>
      <c r="AJ17" s="530">
        <v>43109</v>
      </c>
      <c r="AL17" s="533" t="s">
        <v>910</v>
      </c>
      <c r="AO17" s="529">
        <f>Техкарта6[[#This Row],[Масса]]*Техкарта6[[#This Row],[Витрати кбм]]</f>
        <v>8510.3680000000004</v>
      </c>
      <c r="AP17" s="522">
        <v>556642</v>
      </c>
      <c r="AQ17" s="523">
        <v>43105</v>
      </c>
      <c r="AY17" s="522" t="s">
        <v>1717</v>
      </c>
      <c r="BB17" s="522" t="s">
        <v>1727</v>
      </c>
      <c r="BC17" s="529">
        <f>MONTH(Техкарта6[[#This Row],[Дата ЛК]])</f>
        <v>1</v>
      </c>
      <c r="BE17" s="487"/>
      <c r="BF17" s="488"/>
      <c r="BG17" s="531"/>
      <c r="BH17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7" s="522">
        <v>4</v>
      </c>
      <c r="BK17" s="529" t="str">
        <f>Техкарта6[[#This Row],[Кв-л]]&amp;" кв ("&amp;Substring(Техкарта6[[#This Row],[Виділ]],"_",1)&amp;" вид) "&amp;Substring(Техкарта6[[#This Row],[Виділ]],"_",2)&amp;" діл."</f>
        <v>38 кв (2 вид) 0 діл.</v>
      </c>
      <c r="BL17" s="529" t="str">
        <f>Техкарта6[[#This Row],[ПолнаяДіл]] &amp;" "&amp;Техкарта6[[#This Row],[ЛК]]</f>
        <v>38 кв (2 вид) 0 діл. 556642</v>
      </c>
      <c r="BM17" s="529">
        <f>MONTH(Техкарта6[[#This Row],[Дата начала робіт договору]])</f>
        <v>1</v>
      </c>
      <c r="BN17" s="529"/>
      <c r="BO17" s="529"/>
      <c r="BP17" s="529"/>
      <c r="BQ17" s="529" t="s">
        <v>1269</v>
      </c>
    </row>
    <row r="18" spans="1:69">
      <c r="A18" s="522" t="s">
        <v>1269</v>
      </c>
      <c r="B18" s="522" t="s">
        <v>85</v>
      </c>
      <c r="C18" s="528" t="s">
        <v>1682</v>
      </c>
      <c r="D18" s="522">
        <v>0</v>
      </c>
      <c r="E18" s="522" t="s">
        <v>1749</v>
      </c>
      <c r="F18" s="522">
        <v>3</v>
      </c>
      <c r="G18" s="522" t="s">
        <v>1750</v>
      </c>
      <c r="H18" s="529">
        <v>106</v>
      </c>
      <c r="I18" s="522" t="s">
        <v>1686</v>
      </c>
      <c r="J18" s="522">
        <v>3.9</v>
      </c>
      <c r="K18" s="522">
        <v>450</v>
      </c>
      <c r="M18" s="522">
        <v>11</v>
      </c>
      <c r="S18" s="522">
        <v>100</v>
      </c>
      <c r="T18" s="522">
        <v>0</v>
      </c>
      <c r="V18" s="522">
        <v>54</v>
      </c>
      <c r="W18" s="522">
        <v>0</v>
      </c>
      <c r="X18" s="529">
        <f>Техкарта6[[#This Row],[Масса]]/Техкарта6[[#This Row],[Кільк-сть дерев]]</f>
        <v>0.36666666666666664</v>
      </c>
      <c r="Y18" s="529">
        <f>SUM(Техкарта6[[#This Row],[Знач1]:[Знач12]])</f>
        <v>165</v>
      </c>
      <c r="Z18" s="529">
        <f>(Техкарта6[[#This Row],[Нелеквид]]+Техкарта6[[#This Row],[Масса]])/Техкарта6[[#This Row],[Площа,га]]</f>
        <v>48.205128205128204</v>
      </c>
      <c r="AA18" s="529">
        <v>73.959999999999994</v>
      </c>
      <c r="AB18" s="529"/>
      <c r="AC18" s="522">
        <v>23</v>
      </c>
      <c r="AE18" s="529" t="e">
        <v>#REF!</v>
      </c>
      <c r="AF18" s="522">
        <v>1</v>
      </c>
      <c r="AG18" s="522">
        <v>43101</v>
      </c>
      <c r="AJ18" s="530">
        <v>43109</v>
      </c>
      <c r="AL18" s="533" t="s">
        <v>1713</v>
      </c>
      <c r="AO18" s="529">
        <f>Техкарта6[[#This Row],[Масса]]*Техкарта6[[#This Row],[Витрати кбм]]</f>
        <v>12203.4</v>
      </c>
      <c r="AP18" s="522">
        <v>556642</v>
      </c>
      <c r="AQ18" s="523">
        <v>43105</v>
      </c>
      <c r="AY18" s="522" t="s">
        <v>1717</v>
      </c>
      <c r="BB18" s="522" t="s">
        <v>1727</v>
      </c>
      <c r="BC18" s="529">
        <f>MONTH(Техкарта6[[#This Row],[Дата ЛК]])</f>
        <v>1</v>
      </c>
      <c r="BE18" s="487"/>
      <c r="BF18" s="488"/>
      <c r="BG18" s="531"/>
      <c r="BH18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8" s="522">
        <v>7</v>
      </c>
      <c r="BK18" s="529" t="str">
        <f>Техкарта6[[#This Row],[Кв-л]]&amp;" кв ("&amp;Substring(Техкарта6[[#This Row],[Виділ]],"_",1)&amp;" вид) "&amp;Substring(Техкарта6[[#This Row],[Виділ]],"_",2)&amp;" діл."</f>
        <v>106 кв (11 вид) 0 діл.</v>
      </c>
      <c r="BL18" s="529" t="str">
        <f>Техкарта6[[#This Row],[ПолнаяДіл]] &amp;" "&amp;Техкарта6[[#This Row],[ЛК]]</f>
        <v>106 кв (11 вид) 0 діл. 556642</v>
      </c>
      <c r="BM18" s="529">
        <f>MONTH(Техкарта6[[#This Row],[Дата начала робіт договору]])</f>
        <v>1</v>
      </c>
      <c r="BN18" s="529"/>
      <c r="BO18" s="529"/>
      <c r="BP18" s="529"/>
      <c r="BQ18" s="529" t="s">
        <v>1269</v>
      </c>
    </row>
    <row r="19" spans="1:69">
      <c r="A19" s="522" t="s">
        <v>1269</v>
      </c>
      <c r="B19" s="522" t="s">
        <v>85</v>
      </c>
      <c r="C19" s="528" t="s">
        <v>1682</v>
      </c>
      <c r="D19" s="522">
        <v>0</v>
      </c>
      <c r="E19" s="522" t="s">
        <v>1749</v>
      </c>
      <c r="F19" s="522">
        <v>3</v>
      </c>
      <c r="G19" s="522" t="s">
        <v>1750</v>
      </c>
      <c r="H19" s="529">
        <v>38</v>
      </c>
      <c r="I19" s="522" t="s">
        <v>1683</v>
      </c>
      <c r="J19" s="522">
        <v>0.5</v>
      </c>
      <c r="K19" s="522">
        <v>55</v>
      </c>
      <c r="M19" s="522">
        <v>0</v>
      </c>
      <c r="S19" s="522">
        <v>0</v>
      </c>
      <c r="T19" s="522">
        <v>0</v>
      </c>
      <c r="V19" s="522">
        <v>18</v>
      </c>
      <c r="W19" s="522">
        <v>0</v>
      </c>
      <c r="X19" s="529">
        <f>Техкарта6[[#This Row],[Масса]]/Техкарта6[[#This Row],[Кільк-сть дерев]]</f>
        <v>0.32727272727272727</v>
      </c>
      <c r="Y19" s="529">
        <f>SUM(Техкарта6[[#This Row],[Знач1]:[Знач12]])</f>
        <v>18</v>
      </c>
      <c r="Z19" s="529">
        <f>(Техкарта6[[#This Row],[Нелеквид]]+Техкарта6[[#This Row],[Масса]])/Техкарта6[[#This Row],[Площа,га]]</f>
        <v>40</v>
      </c>
      <c r="AA19" s="529">
        <v>80.546000000000006</v>
      </c>
      <c r="AB19" s="529"/>
      <c r="AC19" s="522">
        <v>2</v>
      </c>
      <c r="AE19" s="529" t="e">
        <v>#REF!</v>
      </c>
      <c r="AF19" s="522">
        <v>1</v>
      </c>
      <c r="AG19" s="522">
        <v>43101</v>
      </c>
      <c r="AJ19" s="530">
        <v>43109</v>
      </c>
      <c r="AL19" s="533" t="s">
        <v>910</v>
      </c>
      <c r="AO19" s="529">
        <f>Техкарта6[[#This Row],[Масса]]*Техкарта6[[#This Row],[Витрати кбм]]</f>
        <v>1449.8280000000002</v>
      </c>
      <c r="AP19" s="522">
        <v>556642</v>
      </c>
      <c r="AQ19" s="523">
        <v>43105</v>
      </c>
      <c r="AY19" s="522" t="s">
        <v>1717</v>
      </c>
      <c r="BB19" s="522" t="s">
        <v>1727</v>
      </c>
      <c r="BC19" s="529">
        <f>MONTH(Техкарта6[[#This Row],[Дата ЛК]])</f>
        <v>1</v>
      </c>
      <c r="BE19" s="487"/>
      <c r="BF19" s="488"/>
      <c r="BG19" s="531"/>
      <c r="BH19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9" s="522">
        <v>3</v>
      </c>
      <c r="BK19" s="529" t="str">
        <f>Техкарта6[[#This Row],[Кв-л]]&amp;" кв ("&amp;Substring(Техкарта6[[#This Row],[Виділ]],"_",1)&amp;" вид) "&amp;Substring(Техкарта6[[#This Row],[Виділ]],"_",2)&amp;" діл."</f>
        <v>38 кв (1 вид) 0 діл.</v>
      </c>
      <c r="BL19" s="529" t="str">
        <f>Техкарта6[[#This Row],[ПолнаяДіл]] &amp;" "&amp;Техкарта6[[#This Row],[ЛК]]</f>
        <v>38 кв (1 вид) 0 діл. 556642</v>
      </c>
      <c r="BM19" s="529">
        <f>MONTH(Техкарта6[[#This Row],[Дата начала робіт договору]])</f>
        <v>1</v>
      </c>
      <c r="BN19" s="529"/>
      <c r="BO19" s="529"/>
      <c r="BP19" s="529"/>
      <c r="BQ19" s="529" t="s">
        <v>1269</v>
      </c>
    </row>
    <row r="20" spans="1:69">
      <c r="A20" s="522" t="s">
        <v>1269</v>
      </c>
      <c r="B20" s="522" t="s">
        <v>85</v>
      </c>
      <c r="C20" s="528" t="s">
        <v>1682</v>
      </c>
      <c r="D20" s="522">
        <v>0</v>
      </c>
      <c r="E20" s="522" t="s">
        <v>1749</v>
      </c>
      <c r="F20" s="522">
        <v>3</v>
      </c>
      <c r="G20" s="522" t="s">
        <v>1750</v>
      </c>
      <c r="H20" s="529">
        <v>38</v>
      </c>
      <c r="I20" s="522" t="s">
        <v>1660</v>
      </c>
      <c r="J20" s="522">
        <v>0.4</v>
      </c>
      <c r="K20" s="522">
        <v>19</v>
      </c>
      <c r="M20" s="522">
        <v>0</v>
      </c>
      <c r="S20" s="522">
        <v>0</v>
      </c>
      <c r="T20" s="522">
        <v>0</v>
      </c>
      <c r="V20" s="522">
        <v>11</v>
      </c>
      <c r="W20" s="522">
        <v>0</v>
      </c>
      <c r="X20" s="529">
        <f>Техкарта6[[#This Row],[Масса]]/Техкарта6[[#This Row],[Кільк-сть дерев]]</f>
        <v>0.57894736842105265</v>
      </c>
      <c r="Y20" s="529">
        <f>SUM(Техкарта6[[#This Row],[Знач1]:[Знач12]])</f>
        <v>11</v>
      </c>
      <c r="Z20" s="529">
        <f>(Техкарта6[[#This Row],[Нелеквид]]+Техкарта6[[#This Row],[Масса]])/Техкарта6[[#This Row],[Площа,га]]</f>
        <v>32.5</v>
      </c>
      <c r="AA20" s="529">
        <v>71.786000000000001</v>
      </c>
      <c r="AB20" s="529"/>
      <c r="AC20" s="522">
        <v>2</v>
      </c>
      <c r="AE20" s="529" t="e">
        <v>#REF!</v>
      </c>
      <c r="AF20" s="522">
        <v>1</v>
      </c>
      <c r="AG20" s="522">
        <v>43101</v>
      </c>
      <c r="AJ20" s="530">
        <v>43109</v>
      </c>
      <c r="AL20" s="533" t="s">
        <v>910</v>
      </c>
      <c r="AO20" s="529">
        <f>Техкарта6[[#This Row],[Масса]]*Техкарта6[[#This Row],[Витрати кбм]]</f>
        <v>789.64599999999996</v>
      </c>
      <c r="AP20" s="522">
        <v>556642</v>
      </c>
      <c r="AQ20" s="523">
        <v>43105</v>
      </c>
      <c r="AY20" s="522" t="s">
        <v>1717</v>
      </c>
      <c r="BB20" s="522" t="s">
        <v>1727</v>
      </c>
      <c r="BC20" s="529">
        <f>MONTH(Техкарта6[[#This Row],[Дата ЛК]])</f>
        <v>1</v>
      </c>
      <c r="BE20" s="487"/>
      <c r="BF20" s="488"/>
      <c r="BG20" s="531"/>
      <c r="BH20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0" s="522">
        <v>6</v>
      </c>
      <c r="BK20" s="529" t="str">
        <f>Техкарта6[[#This Row],[Кв-л]]&amp;" кв ("&amp;Substring(Техкарта6[[#This Row],[Виділ]],"_",1)&amp;" вид) "&amp;Substring(Техкарта6[[#This Row],[Виділ]],"_",2)&amp;" діл."</f>
        <v>38 кв (4 вид) 0 діл.</v>
      </c>
      <c r="BL20" s="529" t="str">
        <f>Техкарта6[[#This Row],[ПолнаяДіл]] &amp;" "&amp;Техкарта6[[#This Row],[ЛК]]</f>
        <v>38 кв (4 вид) 0 діл. 556642</v>
      </c>
      <c r="BM20" s="529">
        <f>MONTH(Техкарта6[[#This Row],[Дата начала робіт договору]])</f>
        <v>1</v>
      </c>
      <c r="BN20" s="529"/>
      <c r="BO20" s="529"/>
      <c r="BP20" s="529"/>
      <c r="BQ20" s="529" t="s">
        <v>1269</v>
      </c>
    </row>
    <row r="21" spans="1:69">
      <c r="A21" s="522" t="s">
        <v>1269</v>
      </c>
      <c r="B21" s="536" t="s">
        <v>177</v>
      </c>
      <c r="C21" s="528" t="s">
        <v>1619</v>
      </c>
      <c r="D21" s="522">
        <v>0</v>
      </c>
      <c r="E21" s="522" t="s">
        <v>1749</v>
      </c>
      <c r="F21" s="522">
        <v>3</v>
      </c>
      <c r="G21" s="522" t="s">
        <v>1750</v>
      </c>
      <c r="H21" s="529">
        <v>49</v>
      </c>
      <c r="I21" s="522" t="s">
        <v>1683</v>
      </c>
      <c r="J21" s="522">
        <v>9</v>
      </c>
      <c r="K21" s="522">
        <v>902</v>
      </c>
      <c r="M21" s="522">
        <v>0</v>
      </c>
      <c r="N21" s="522">
        <v>9</v>
      </c>
      <c r="S21" s="522">
        <v>14</v>
      </c>
      <c r="T21" s="522">
        <v>105</v>
      </c>
      <c r="V21" s="522">
        <v>0</v>
      </c>
      <c r="W21" s="522">
        <v>0</v>
      </c>
      <c r="X21" s="529">
        <f>Техкарта6[[#This Row],[Масса]]/Техкарта6[[#This Row],[Кільк-сть дерев]]</f>
        <v>0.14190687361419069</v>
      </c>
      <c r="Y21" s="529">
        <f>SUM(Техкарта6[[#This Row],[Знач1]:[Знач12]])</f>
        <v>128</v>
      </c>
      <c r="Z21" s="529">
        <f>(Техкарта6[[#This Row],[Нелеквид]]+Техкарта6[[#This Row],[Масса]])/Техкарта6[[#This Row],[Площа,га]]</f>
        <v>15.888888888888889</v>
      </c>
      <c r="AA21" s="529">
        <v>130.18600000000001</v>
      </c>
      <c r="AB21" s="529"/>
      <c r="AC21" s="522">
        <v>15</v>
      </c>
      <c r="AE21" s="529" t="e">
        <v>#REF!</v>
      </c>
      <c r="AF21" s="522">
        <v>1</v>
      </c>
      <c r="AG21" s="522">
        <v>43101</v>
      </c>
      <c r="AJ21" s="530">
        <v>43109</v>
      </c>
      <c r="AL21" s="533" t="s">
        <v>1015</v>
      </c>
      <c r="AO21" s="529">
        <f>Техкарта6[[#This Row],[Масса]]*Техкарта6[[#This Row],[Витрати кбм]]</f>
        <v>16663.808000000001</v>
      </c>
      <c r="AP21" s="522">
        <v>556638</v>
      </c>
      <c r="AQ21" s="523">
        <v>43102</v>
      </c>
      <c r="AY21" s="522" t="s">
        <v>1717</v>
      </c>
      <c r="BB21" s="522" t="s">
        <v>1727</v>
      </c>
      <c r="BC21" s="529">
        <f>MONTH(Техкарта6[[#This Row],[Дата ЛК]])</f>
        <v>1</v>
      </c>
      <c r="BE21" s="487"/>
      <c r="BF21" s="488"/>
      <c r="BG21" s="531"/>
      <c r="BH21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1" s="522">
        <v>2</v>
      </c>
      <c r="BK21" s="529" t="str">
        <f>Техкарта6[[#This Row],[Кв-л]]&amp;" кв ("&amp;Substring(Техкарта6[[#This Row],[Виділ]],"_",1)&amp;" вид) "&amp;Substring(Техкарта6[[#This Row],[Виділ]],"_",2)&amp;" діл."</f>
        <v>49 кв (1 вид) 0 діл.</v>
      </c>
      <c r="BL21" s="529" t="str">
        <f>Техкарта6[[#This Row],[ПолнаяДіл]] &amp;" "&amp;Техкарта6[[#This Row],[ЛК]]</f>
        <v>49 кв (1 вид) 0 діл. 556638</v>
      </c>
      <c r="BM21" s="529">
        <f>MONTH(Техкарта6[[#This Row],[Дата начала робіт договору]])</f>
        <v>1</v>
      </c>
      <c r="BN21" s="529"/>
      <c r="BO21" s="529"/>
      <c r="BP21" s="529"/>
      <c r="BQ21" s="529" t="s">
        <v>1269</v>
      </c>
    </row>
    <row r="22" spans="1:69">
      <c r="A22" s="522" t="s">
        <v>1269</v>
      </c>
      <c r="B22" s="536" t="s">
        <v>177</v>
      </c>
      <c r="C22" s="528" t="s">
        <v>1619</v>
      </c>
      <c r="D22" s="522">
        <v>0</v>
      </c>
      <c r="E22" s="522" t="s">
        <v>1716</v>
      </c>
      <c r="F22" s="522">
        <v>3</v>
      </c>
      <c r="G22" s="522" t="s">
        <v>1750</v>
      </c>
      <c r="H22" s="529">
        <v>56</v>
      </c>
      <c r="I22" s="522" t="s">
        <v>1687</v>
      </c>
      <c r="J22" s="522">
        <v>6</v>
      </c>
      <c r="K22" s="522">
        <v>574</v>
      </c>
      <c r="M22" s="522">
        <v>0</v>
      </c>
      <c r="N22" s="522">
        <v>4</v>
      </c>
      <c r="S22" s="522">
        <v>13</v>
      </c>
      <c r="T22" s="522">
        <v>62</v>
      </c>
      <c r="V22" s="522">
        <v>0</v>
      </c>
      <c r="W22" s="522">
        <v>0</v>
      </c>
      <c r="X22" s="529">
        <f>Техкарта6[[#This Row],[Масса]]/Техкарта6[[#This Row],[Кільк-сть дерев]]</f>
        <v>0.13763066202090593</v>
      </c>
      <c r="Y22" s="529">
        <f>SUM(Техкарта6[[#This Row],[Знач1]:[Знач12]])</f>
        <v>79</v>
      </c>
      <c r="Z22" s="529">
        <f>(Техкарта6[[#This Row],[Нелеквид]]+Техкарта6[[#This Row],[Масса]])/Техкарта6[[#This Row],[Площа,га]]</f>
        <v>14.666666666666666</v>
      </c>
      <c r="AA22" s="529">
        <v>129.797</v>
      </c>
      <c r="AB22" s="529"/>
      <c r="AC22" s="522">
        <v>9</v>
      </c>
      <c r="AE22" s="529" t="e">
        <v>#REF!</v>
      </c>
      <c r="AF22" s="522">
        <v>1</v>
      </c>
      <c r="AG22" s="522">
        <v>43101</v>
      </c>
      <c r="AJ22" s="530">
        <v>43109</v>
      </c>
      <c r="AL22" s="533" t="s">
        <v>1681</v>
      </c>
      <c r="AO22" s="529">
        <f>Техкарта6[[#This Row],[Масса]]*Техкарта6[[#This Row],[Витрати кбм]]</f>
        <v>10253.963</v>
      </c>
      <c r="AP22" s="522">
        <v>556638</v>
      </c>
      <c r="AQ22" s="523">
        <v>43102</v>
      </c>
      <c r="AY22" s="522" t="s">
        <v>1717</v>
      </c>
      <c r="BB22" s="522" t="s">
        <v>1727</v>
      </c>
      <c r="BC22" s="529">
        <f>MONTH(Техкарта6[[#This Row],[Дата ЛК]])</f>
        <v>1</v>
      </c>
      <c r="BE22" s="487"/>
      <c r="BF22" s="488"/>
      <c r="BG22" s="531"/>
      <c r="BH2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2" s="522">
        <v>3</v>
      </c>
      <c r="BK22" s="529" t="str">
        <f>Техкарта6[[#This Row],[Кв-л]]&amp;" кв ("&amp;Substring(Техкарта6[[#This Row],[Виділ]],"_",1)&amp;" вид) "&amp;Substring(Техкарта6[[#This Row],[Виділ]],"_",2)&amp;" діл."</f>
        <v>56 кв (5 вид) 0 діл.</v>
      </c>
      <c r="BL22" s="529" t="str">
        <f>Техкарта6[[#This Row],[ПолнаяДіл]] &amp;" "&amp;Техкарта6[[#This Row],[ЛК]]</f>
        <v>56 кв (5 вид) 0 діл. 556638</v>
      </c>
      <c r="BM22" s="529">
        <f>MONTH(Техкарта6[[#This Row],[Дата начала робіт договору]])</f>
        <v>1</v>
      </c>
      <c r="BN22" s="529"/>
      <c r="BO22" s="529"/>
      <c r="BP22" s="529"/>
      <c r="BQ22" s="529" t="s">
        <v>1269</v>
      </c>
    </row>
    <row r="23" spans="1:69">
      <c r="A23" s="522" t="s">
        <v>1269</v>
      </c>
      <c r="B23" s="536" t="s">
        <v>177</v>
      </c>
      <c r="C23" s="528" t="s">
        <v>1619</v>
      </c>
      <c r="D23" s="522">
        <v>0</v>
      </c>
      <c r="E23" s="522" t="s">
        <v>1716</v>
      </c>
      <c r="F23" s="522">
        <v>3</v>
      </c>
      <c r="G23" s="522" t="s">
        <v>1750</v>
      </c>
      <c r="H23" s="529">
        <v>61</v>
      </c>
      <c r="I23" s="522" t="s">
        <v>1688</v>
      </c>
      <c r="J23" s="522">
        <v>3.5</v>
      </c>
      <c r="K23" s="522">
        <v>95</v>
      </c>
      <c r="M23" s="522">
        <v>0</v>
      </c>
      <c r="N23" s="522">
        <v>0</v>
      </c>
      <c r="S23" s="522">
        <v>0</v>
      </c>
      <c r="T23" s="522">
        <v>6</v>
      </c>
      <c r="V23" s="522">
        <v>0</v>
      </c>
      <c r="W23" s="522">
        <v>0</v>
      </c>
      <c r="X23" s="529">
        <f>Техкарта6[[#This Row],[Масса]]/Техкарта6[[#This Row],[Кільк-сть дерев]]</f>
        <v>6.3157894736842107E-2</v>
      </c>
      <c r="Y23" s="529">
        <f>SUM(Техкарта6[[#This Row],[Знач1]:[Знач12]])</f>
        <v>6</v>
      </c>
      <c r="Z23" s="529">
        <f>(Техкарта6[[#This Row],[Нелеквид]]+Техкарта6[[#This Row],[Масса]])/Техкарта6[[#This Row],[Площа,га]]</f>
        <v>21.714285714285715</v>
      </c>
      <c r="AA23" s="529">
        <v>232.624</v>
      </c>
      <c r="AB23" s="529"/>
      <c r="AC23" s="522">
        <v>70</v>
      </c>
      <c r="AE23" s="529" t="e">
        <v>#REF!</v>
      </c>
      <c r="AF23" s="522">
        <v>1</v>
      </c>
      <c r="AG23" s="522">
        <v>43101</v>
      </c>
      <c r="AJ23" s="530">
        <v>43109</v>
      </c>
      <c r="AL23" s="533" t="s">
        <v>1681</v>
      </c>
      <c r="AO23" s="529">
        <f>Техкарта6[[#This Row],[Масса]]*Техкарта6[[#This Row],[Витрати кбм]]</f>
        <v>1395.7439999999999</v>
      </c>
      <c r="AP23" s="522">
        <v>556637</v>
      </c>
      <c r="AQ23" s="523">
        <v>43102</v>
      </c>
      <c r="AY23" s="522" t="s">
        <v>1717</v>
      </c>
      <c r="BB23" s="522" t="s">
        <v>1727</v>
      </c>
      <c r="BC23" s="529">
        <f>MONTH(Техкарта6[[#This Row],[Дата ЛК]])</f>
        <v>1</v>
      </c>
      <c r="BE23" s="487"/>
      <c r="BF23" s="488"/>
      <c r="BG23" s="531"/>
      <c r="BH2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3" s="522">
        <v>4</v>
      </c>
      <c r="BK23" s="529" t="str">
        <f>Техкарта6[[#This Row],[Кв-л]]&amp;" кв ("&amp;Substring(Техкарта6[[#This Row],[Виділ]],"_",1)&amp;" вид) "&amp;Substring(Техкарта6[[#This Row],[Виділ]],"_",2)&amp;" діл."</f>
        <v>61 кв (9 вид) 0 діл.</v>
      </c>
      <c r="BL23" s="529" t="str">
        <f>Техкарта6[[#This Row],[ПолнаяДіл]] &amp;" "&amp;Техкарта6[[#This Row],[ЛК]]</f>
        <v>61 кв (9 вид) 0 діл. 556637</v>
      </c>
      <c r="BM23" s="529">
        <f>MONTH(Техкарта6[[#This Row],[Дата начала робіт договору]])</f>
        <v>1</v>
      </c>
      <c r="BN23" s="529"/>
      <c r="BO23" s="529"/>
      <c r="BP23" s="529"/>
      <c r="BQ23" s="529" t="s">
        <v>1269</v>
      </c>
    </row>
    <row r="24" spans="1:69">
      <c r="A24" s="522" t="s">
        <v>1269</v>
      </c>
      <c r="B24" s="536" t="s">
        <v>177</v>
      </c>
      <c r="C24" s="528" t="s">
        <v>1693</v>
      </c>
      <c r="D24" s="522">
        <v>0</v>
      </c>
      <c r="E24" s="522" t="s">
        <v>1716</v>
      </c>
      <c r="F24" s="522">
        <v>3</v>
      </c>
      <c r="G24" s="522" t="s">
        <v>1750</v>
      </c>
      <c r="H24" s="529">
        <v>54</v>
      </c>
      <c r="I24" s="522" t="s">
        <v>1660</v>
      </c>
      <c r="J24" s="522">
        <v>6.1</v>
      </c>
      <c r="K24" s="522">
        <v>455</v>
      </c>
      <c r="M24" s="522">
        <v>0</v>
      </c>
      <c r="N24" s="522">
        <v>0</v>
      </c>
      <c r="S24" s="522">
        <v>0</v>
      </c>
      <c r="T24" s="522">
        <v>43</v>
      </c>
      <c r="V24" s="522">
        <v>0</v>
      </c>
      <c r="W24" s="522">
        <v>0</v>
      </c>
      <c r="X24" s="529">
        <f>Техкарта6[[#This Row],[Масса]]/Техкарта6[[#This Row],[Кільк-сть дерев]]</f>
        <v>9.4505494505494503E-2</v>
      </c>
      <c r="Y24" s="529">
        <f>SUM(Техкарта6[[#This Row],[Знач1]:[Знач12]])</f>
        <v>43</v>
      </c>
      <c r="Z24" s="529">
        <f>(Техкарта6[[#This Row],[Нелеквид]]+Техкарта6[[#This Row],[Масса]])/Техкарта6[[#This Row],[Площа,га]]</f>
        <v>7.2131147540983607</v>
      </c>
      <c r="AA24" s="529">
        <v>201.08099999999999</v>
      </c>
      <c r="AB24" s="529"/>
      <c r="AC24" s="522">
        <v>1</v>
      </c>
      <c r="AE24" s="529" t="e">
        <v>#REF!</v>
      </c>
      <c r="AF24" s="522">
        <v>1</v>
      </c>
      <c r="AG24" s="522">
        <v>43101</v>
      </c>
      <c r="AJ24" s="530">
        <v>43109</v>
      </c>
      <c r="AL24" s="533" t="s">
        <v>1681</v>
      </c>
      <c r="AO24" s="529">
        <f>Техкарта6[[#This Row],[Масса]]*Техкарта6[[#This Row],[Витрати кбм]]</f>
        <v>8646.4830000000002</v>
      </c>
      <c r="AP24" s="522">
        <v>556637</v>
      </c>
      <c r="AQ24" s="523">
        <v>43102</v>
      </c>
      <c r="AY24" s="522" t="s">
        <v>1717</v>
      </c>
      <c r="BB24" s="522" t="s">
        <v>1727</v>
      </c>
      <c r="BC24" s="529">
        <f>MONTH(Техкарта6[[#This Row],[Дата ЛК]])</f>
        <v>1</v>
      </c>
      <c r="BE24" s="487"/>
      <c r="BF24" s="488"/>
      <c r="BG24" s="531"/>
      <c r="BH24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4" s="522">
        <v>5</v>
      </c>
      <c r="BK24" s="529" t="str">
        <f>Техкарта6[[#This Row],[Кв-л]]&amp;" кв ("&amp;Substring(Техкарта6[[#This Row],[Виділ]],"_",1)&amp;" вид) "&amp;Substring(Техкарта6[[#This Row],[Виділ]],"_",2)&amp;" діл."</f>
        <v>54 кв (4 вид) 0 діл.</v>
      </c>
      <c r="BL24" s="529" t="str">
        <f>Техкарта6[[#This Row],[ПолнаяДіл]] &amp;" "&amp;Техкарта6[[#This Row],[ЛК]]</f>
        <v>54 кв (4 вид) 0 діл. 556637</v>
      </c>
      <c r="BM24" s="529">
        <f>MONTH(Техкарта6[[#This Row],[Дата начала робіт договору]])</f>
        <v>1</v>
      </c>
      <c r="BN24" s="529"/>
      <c r="BO24" s="529"/>
      <c r="BP24" s="529"/>
      <c r="BQ24" s="529" t="s">
        <v>1269</v>
      </c>
    </row>
    <row r="25" spans="1:69">
      <c r="A25" s="522" t="s">
        <v>1269</v>
      </c>
      <c r="B25" s="522" t="s">
        <v>177</v>
      </c>
      <c r="C25" s="528" t="s">
        <v>1693</v>
      </c>
      <c r="D25" s="522">
        <v>0</v>
      </c>
      <c r="E25" s="522" t="s">
        <v>1716</v>
      </c>
      <c r="F25" s="522">
        <v>3</v>
      </c>
      <c r="G25" s="522" t="s">
        <v>1750</v>
      </c>
      <c r="H25" s="536">
        <v>64</v>
      </c>
      <c r="I25" s="522" t="s">
        <v>1632</v>
      </c>
      <c r="J25" s="522">
        <v>5.2</v>
      </c>
      <c r="K25" s="522">
        <v>428</v>
      </c>
      <c r="M25" s="522">
        <v>0</v>
      </c>
      <c r="N25" s="522">
        <v>0</v>
      </c>
      <c r="S25" s="522">
        <v>0</v>
      </c>
      <c r="T25" s="522">
        <v>46</v>
      </c>
      <c r="V25" s="522">
        <v>0</v>
      </c>
      <c r="W25" s="522">
        <v>0</v>
      </c>
      <c r="X25" s="529">
        <f>Техкарта6[[#This Row],[Масса]]/Техкарта6[[#This Row],[Кільк-сть дерев]]</f>
        <v>0.10747663551401869</v>
      </c>
      <c r="Y25" s="529">
        <f>SUM(Техкарта6[[#This Row],[Знач1]:[Знач12]])</f>
        <v>46</v>
      </c>
      <c r="Z25" s="529">
        <f>(Техкарта6[[#This Row],[Нелеквид]]+Техкарта6[[#This Row],[Масса]])/Техкарта6[[#This Row],[Площа,га]]</f>
        <v>9.0384615384615383</v>
      </c>
      <c r="AA25" s="529">
        <v>169.15199999999999</v>
      </c>
      <c r="AB25" s="529"/>
      <c r="AC25" s="522">
        <v>1</v>
      </c>
      <c r="AE25" s="529" t="e">
        <v>#REF!</v>
      </c>
      <c r="AF25" s="522">
        <v>1</v>
      </c>
      <c r="AG25" s="522">
        <v>43101</v>
      </c>
      <c r="AJ25" s="530">
        <v>43109</v>
      </c>
      <c r="AL25" s="533" t="s">
        <v>1681</v>
      </c>
      <c r="AO25" s="529">
        <f>Техкарта6[[#This Row],[Масса]]*Техкарта6[[#This Row],[Витрати кбм]]</f>
        <v>7780.9919999999993</v>
      </c>
      <c r="AP25" s="522">
        <v>556637</v>
      </c>
      <c r="AQ25" s="523">
        <v>43102</v>
      </c>
      <c r="AY25" s="522" t="s">
        <v>1717</v>
      </c>
      <c r="BB25" s="522" t="s">
        <v>1727</v>
      </c>
      <c r="BC25" s="529">
        <f>MONTH(Техкарта6[[#This Row],[Дата ЛК]])</f>
        <v>1</v>
      </c>
      <c r="BE25" s="487"/>
      <c r="BF25" s="488"/>
      <c r="BG25" s="531"/>
      <c r="BH25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5" s="522">
        <v>6</v>
      </c>
      <c r="BK25" s="529" t="str">
        <f>Техкарта6[[#This Row],[Кв-л]]&amp;" кв ("&amp;Substring(Техкарта6[[#This Row],[Виділ]],"_",1)&amp;" вид) "&amp;Substring(Техкарта6[[#This Row],[Виділ]],"_",2)&amp;" діл."</f>
        <v>64 кв (2 вид) 0 діл.</v>
      </c>
      <c r="BL25" s="529" t="str">
        <f>Техкарта6[[#This Row],[ПолнаяДіл]] &amp;" "&amp;Техкарта6[[#This Row],[ЛК]]</f>
        <v>64 кв (2 вид) 0 діл. 556637</v>
      </c>
      <c r="BM25" s="529">
        <f>MONTH(Техкарта6[[#This Row],[Дата начала робіт договору]])</f>
        <v>1</v>
      </c>
      <c r="BN25" s="529"/>
      <c r="BO25" s="529"/>
      <c r="BP25" s="529"/>
      <c r="BQ25" s="529" t="s">
        <v>1269</v>
      </c>
    </row>
    <row r="26" spans="1:69">
      <c r="A26" s="522" t="s">
        <v>1269</v>
      </c>
      <c r="B26" s="522" t="s">
        <v>177</v>
      </c>
      <c r="C26" s="528" t="s">
        <v>1693</v>
      </c>
      <c r="D26" s="522">
        <v>0</v>
      </c>
      <c r="E26" s="522" t="s">
        <v>1716</v>
      </c>
      <c r="F26" s="522">
        <v>3</v>
      </c>
      <c r="G26" s="522" t="s">
        <v>1750</v>
      </c>
      <c r="H26" s="536">
        <v>70</v>
      </c>
      <c r="I26" s="522" t="s">
        <v>1632</v>
      </c>
      <c r="J26" s="522">
        <v>9.4</v>
      </c>
      <c r="K26" s="522">
        <v>910</v>
      </c>
      <c r="M26" s="522">
        <v>0</v>
      </c>
      <c r="N26" s="522">
        <v>0</v>
      </c>
      <c r="S26" s="522">
        <v>0</v>
      </c>
      <c r="T26" s="522">
        <v>77</v>
      </c>
      <c r="V26" s="522">
        <v>0</v>
      </c>
      <c r="W26" s="522">
        <v>0</v>
      </c>
      <c r="X26" s="529">
        <f>Техкарта6[[#This Row],[Масса]]/Техкарта6[[#This Row],[Кільк-сть дерев]]</f>
        <v>8.461538461538462E-2</v>
      </c>
      <c r="Y26" s="529">
        <f>SUM(Техкарта6[[#This Row],[Знач1]:[Знач12]])</f>
        <v>77</v>
      </c>
      <c r="Z26" s="529">
        <f>(Техкарта6[[#This Row],[Нелеквид]]+Техкарта6[[#This Row],[Масса]])/Техкарта6[[#This Row],[Площа,га]]</f>
        <v>8.2978723404255312</v>
      </c>
      <c r="AA26" s="529">
        <v>222.70699999999999</v>
      </c>
      <c r="AB26" s="529"/>
      <c r="AC26" s="522">
        <v>1</v>
      </c>
      <c r="AE26" s="529" t="e">
        <v>#REF!</v>
      </c>
      <c r="AF26" s="522">
        <v>1</v>
      </c>
      <c r="AG26" s="522">
        <v>43101</v>
      </c>
      <c r="AJ26" s="530">
        <v>43109</v>
      </c>
      <c r="AL26" s="533" t="s">
        <v>1015</v>
      </c>
      <c r="AO26" s="529">
        <f>Техкарта6[[#This Row],[Масса]]*Техкарта6[[#This Row],[Витрати кбм]]</f>
        <v>17148.438999999998</v>
      </c>
      <c r="AP26" s="522">
        <v>556637</v>
      </c>
      <c r="AQ26" s="523">
        <v>43102</v>
      </c>
      <c r="AY26" s="522" t="s">
        <v>1717</v>
      </c>
      <c r="BB26" s="522" t="s">
        <v>1727</v>
      </c>
      <c r="BC26" s="529">
        <f>MONTH(Техкарта6[[#This Row],[Дата ЛК]])</f>
        <v>1</v>
      </c>
      <c r="BE26" s="487"/>
      <c r="BF26" s="488"/>
      <c r="BG26" s="531"/>
      <c r="BH26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6" s="522">
        <v>6</v>
      </c>
      <c r="BK26" s="529" t="str">
        <f>Техкарта6[[#This Row],[Кв-л]]&amp;" кв ("&amp;Substring(Техкарта6[[#This Row],[Виділ]],"_",1)&amp;" вид) "&amp;Substring(Техкарта6[[#This Row],[Виділ]],"_",2)&amp;" діл."</f>
        <v>70 кв (2 вид) 0 діл.</v>
      </c>
      <c r="BL26" s="529" t="str">
        <f>Техкарта6[[#This Row],[ПолнаяДіл]] &amp;" "&amp;Техкарта6[[#This Row],[ЛК]]</f>
        <v>70 кв (2 вид) 0 діл. 556637</v>
      </c>
      <c r="BM26" s="529">
        <f>MONTH(Техкарта6[[#This Row],[Дата начала робіт договору]])</f>
        <v>1</v>
      </c>
      <c r="BN26" s="529"/>
      <c r="BO26" s="529"/>
      <c r="BP26" s="529"/>
      <c r="BQ26" s="529" t="s">
        <v>1269</v>
      </c>
    </row>
    <row r="27" spans="1:69">
      <c r="A27" s="522" t="s">
        <v>1269</v>
      </c>
      <c r="B27" s="522" t="s">
        <v>296</v>
      </c>
      <c r="C27" s="528" t="s">
        <v>1619</v>
      </c>
      <c r="D27" s="522">
        <v>0</v>
      </c>
      <c r="E27" s="522" t="s">
        <v>1716</v>
      </c>
      <c r="F27" s="522">
        <v>3</v>
      </c>
      <c r="G27" s="522" t="s">
        <v>1750</v>
      </c>
      <c r="H27" s="536">
        <v>81</v>
      </c>
      <c r="I27" s="522" t="s">
        <v>1632</v>
      </c>
      <c r="J27" s="522">
        <v>3.1</v>
      </c>
      <c r="K27" s="522">
        <v>132</v>
      </c>
      <c r="M27" s="522">
        <v>0</v>
      </c>
      <c r="N27" s="522">
        <v>35</v>
      </c>
      <c r="S27" s="522">
        <v>2</v>
      </c>
      <c r="T27" s="522">
        <v>70</v>
      </c>
      <c r="V27" s="522">
        <v>0</v>
      </c>
      <c r="W27" s="522">
        <v>0</v>
      </c>
      <c r="X27" s="529">
        <f>Техкарта6[[#This Row],[Масса]]/Техкарта6[[#This Row],[Кільк-сть дерев]]</f>
        <v>0.81060606060606055</v>
      </c>
      <c r="Y27" s="529">
        <f>SUM(Техкарта6[[#This Row],[Знач1]:[Знач12]])</f>
        <v>107</v>
      </c>
      <c r="Z27" s="529">
        <f>(Техкарта6[[#This Row],[Нелеквид]]+Техкарта6[[#This Row],[Масса]])/Техкарта6[[#This Row],[Площа,га]]</f>
        <v>37.096774193548384</v>
      </c>
      <c r="AA27" s="529">
        <v>59.331000000000003</v>
      </c>
      <c r="AB27" s="529"/>
      <c r="AC27" s="522">
        <v>8</v>
      </c>
      <c r="AE27" s="529" t="e">
        <v>#REF!</v>
      </c>
      <c r="AF27" s="522">
        <v>1</v>
      </c>
      <c r="AG27" s="522">
        <v>43101</v>
      </c>
      <c r="AJ27" s="530">
        <v>43109</v>
      </c>
      <c r="AL27" s="533" t="s">
        <v>918</v>
      </c>
      <c r="AO27" s="529">
        <f>Техкарта6[[#This Row],[Масса]]*Техкарта6[[#This Row],[Витрати кбм]]</f>
        <v>6348.4170000000004</v>
      </c>
      <c r="AP27" s="522">
        <v>556629</v>
      </c>
      <c r="AQ27" s="523">
        <v>43102</v>
      </c>
      <c r="AY27" s="522" t="s">
        <v>1722</v>
      </c>
      <c r="BB27" s="522" t="s">
        <v>1728</v>
      </c>
      <c r="BC27" s="529">
        <f>MONTH(Техкарта6[[#This Row],[Дата ЛК]])</f>
        <v>1</v>
      </c>
      <c r="BE27" s="487"/>
      <c r="BF27" s="488"/>
      <c r="BG27" s="531"/>
      <c r="BH27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7" s="522">
        <v>3</v>
      </c>
      <c r="BK27" s="529" t="str">
        <f>Техкарта6[[#This Row],[Кв-л]]&amp;" кв ("&amp;Substring(Техкарта6[[#This Row],[Виділ]],"_",1)&amp;" вид) "&amp;Substring(Техкарта6[[#This Row],[Виділ]],"_",2)&amp;" діл."</f>
        <v>81 кв (2 вид) 0 діл.</v>
      </c>
      <c r="BL27" s="529" t="str">
        <f>Техкарта6[[#This Row],[ПолнаяДіл]] &amp;" "&amp;Техкарта6[[#This Row],[ЛК]]</f>
        <v>81 кв (2 вид) 0 діл. 556629</v>
      </c>
      <c r="BM27" s="529">
        <f>MONTH(Техкарта6[[#This Row],[Дата начала робіт договору]])</f>
        <v>1</v>
      </c>
      <c r="BN27" s="529"/>
      <c r="BO27" s="529"/>
      <c r="BP27" s="529"/>
      <c r="BQ27" s="529" t="s">
        <v>1269</v>
      </c>
    </row>
    <row r="28" spans="1:69">
      <c r="A28" s="522" t="s">
        <v>1269</v>
      </c>
      <c r="B28" s="522" t="s">
        <v>296</v>
      </c>
      <c r="C28" s="528" t="s">
        <v>1619</v>
      </c>
      <c r="D28" s="522">
        <v>0</v>
      </c>
      <c r="E28" s="522" t="s">
        <v>1716</v>
      </c>
      <c r="F28" s="522">
        <v>3</v>
      </c>
      <c r="G28" s="522" t="s">
        <v>1750</v>
      </c>
      <c r="H28" s="536">
        <v>93</v>
      </c>
      <c r="I28" s="522" t="s">
        <v>1632</v>
      </c>
      <c r="J28" s="522">
        <v>2.2999999999999998</v>
      </c>
      <c r="K28" s="522">
        <v>240</v>
      </c>
      <c r="M28" s="522">
        <v>5</v>
      </c>
      <c r="N28" s="522">
        <v>3</v>
      </c>
      <c r="R28" s="522">
        <v>5</v>
      </c>
      <c r="S28" s="522">
        <v>21</v>
      </c>
      <c r="T28" s="522">
        <v>34</v>
      </c>
      <c r="V28" s="522">
        <v>0</v>
      </c>
      <c r="W28" s="522">
        <v>0</v>
      </c>
      <c r="X28" s="529">
        <f>Техкарта6[[#This Row],[Масса]]/Техкарта6[[#This Row],[Кільк-сть дерев]]</f>
        <v>0.28333333333333333</v>
      </c>
      <c r="Y28" s="529">
        <f>SUM(Техкарта6[[#This Row],[Знач1]:[Знач12]])</f>
        <v>68</v>
      </c>
      <c r="Z28" s="529">
        <f>(Техкарта6[[#This Row],[Нелеквид]]+Техкарта6[[#This Row],[Масса]])/Техкарта6[[#This Row],[Площа,га]]</f>
        <v>32.608695652173914</v>
      </c>
      <c r="AA28" s="529">
        <v>86.472999999999999</v>
      </c>
      <c r="AB28" s="529"/>
      <c r="AC28" s="522">
        <v>7</v>
      </c>
      <c r="AE28" s="529" t="e">
        <v>#REF!</v>
      </c>
      <c r="AF28" s="522">
        <v>1</v>
      </c>
      <c r="AG28" s="522">
        <v>43101</v>
      </c>
      <c r="AJ28" s="530">
        <v>43109</v>
      </c>
      <c r="AL28" s="533" t="s">
        <v>1027</v>
      </c>
      <c r="AO28" s="529">
        <f>Техкарта6[[#This Row],[Масса]]*Техкарта6[[#This Row],[Витрати кбм]]</f>
        <v>5880.1639999999998</v>
      </c>
      <c r="AP28" s="522">
        <v>556629</v>
      </c>
      <c r="AQ28" s="523">
        <v>43102</v>
      </c>
      <c r="AY28" s="522" t="s">
        <v>1722</v>
      </c>
      <c r="BB28" s="522" t="s">
        <v>1728</v>
      </c>
      <c r="BC28" s="529">
        <f>MONTH(Техкарта6[[#This Row],[Дата ЛК]])</f>
        <v>1</v>
      </c>
      <c r="BE28" s="487"/>
      <c r="BF28" s="488"/>
      <c r="BG28" s="531"/>
      <c r="BH28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8" s="522">
        <v>4</v>
      </c>
      <c r="BK28" s="529" t="str">
        <f>Техкарта6[[#This Row],[Кв-л]]&amp;" кв ("&amp;Substring(Техкарта6[[#This Row],[Виділ]],"_",1)&amp;" вид) "&amp;Substring(Техкарта6[[#This Row],[Виділ]],"_",2)&amp;" діл."</f>
        <v>93 кв (2 вид) 0 діл.</v>
      </c>
      <c r="BL28" s="529" t="str">
        <f>Техкарта6[[#This Row],[ПолнаяДіл]] &amp;" "&amp;Техкарта6[[#This Row],[ЛК]]</f>
        <v>93 кв (2 вид) 0 діл. 556629</v>
      </c>
      <c r="BM28" s="529">
        <f>MONTH(Техкарта6[[#This Row],[Дата начала робіт договору]])</f>
        <v>1</v>
      </c>
      <c r="BN28" s="529"/>
      <c r="BO28" s="529"/>
      <c r="BP28" s="529"/>
      <c r="BQ28" s="529" t="s">
        <v>1269</v>
      </c>
    </row>
    <row r="29" spans="1:69">
      <c r="A29" s="522" t="s">
        <v>1269</v>
      </c>
      <c r="B29" s="522" t="s">
        <v>177</v>
      </c>
      <c r="C29" s="528" t="s">
        <v>1619</v>
      </c>
      <c r="D29" s="522">
        <v>0</v>
      </c>
      <c r="E29" s="522" t="s">
        <v>1716</v>
      </c>
      <c r="F29" s="522">
        <v>3</v>
      </c>
      <c r="G29" s="522" t="s">
        <v>1750</v>
      </c>
      <c r="H29" s="536">
        <v>70</v>
      </c>
      <c r="I29" s="522" t="s">
        <v>1632</v>
      </c>
      <c r="J29" s="522">
        <v>9.4</v>
      </c>
      <c r="K29" s="522">
        <v>910</v>
      </c>
      <c r="M29" s="522">
        <v>0</v>
      </c>
      <c r="N29" s="522">
        <v>0</v>
      </c>
      <c r="S29" s="522">
        <v>0</v>
      </c>
      <c r="T29" s="522">
        <v>77</v>
      </c>
      <c r="V29" s="522">
        <v>0</v>
      </c>
      <c r="W29" s="522">
        <v>0</v>
      </c>
      <c r="X29" s="529">
        <f>Техкарта6[[#This Row],[Масса]]/Техкарта6[[#This Row],[Кільк-сть дерев]]</f>
        <v>8.461538461538462E-2</v>
      </c>
      <c r="Y29" s="529">
        <f>SUM(Техкарта6[[#This Row],[Знач1]:[Знач12]])</f>
        <v>77</v>
      </c>
      <c r="Z29" s="529">
        <f>(Техкарта6[[#This Row],[Нелеквид]]+Техкарта6[[#This Row],[Масса]])/Техкарта6[[#This Row],[Площа,га]]</f>
        <v>8.2978723404255312</v>
      </c>
      <c r="AA29" s="529">
        <v>62.735999999999997</v>
      </c>
      <c r="AB29" s="529"/>
      <c r="AC29" s="522">
        <v>1</v>
      </c>
      <c r="AE29" s="529" t="e">
        <v>#REF!</v>
      </c>
      <c r="AF29" s="522">
        <v>1</v>
      </c>
      <c r="AG29" s="522">
        <v>43101</v>
      </c>
      <c r="AJ29" s="530">
        <v>43109</v>
      </c>
      <c r="AL29" s="533" t="s">
        <v>1015</v>
      </c>
      <c r="AO29" s="529">
        <f>Техкарта6[[#This Row],[Масса]]*Техкарта6[[#This Row],[Витрати кбм]]</f>
        <v>4830.6719999999996</v>
      </c>
      <c r="AP29" s="522">
        <v>556637</v>
      </c>
      <c r="AQ29" s="523">
        <v>43102</v>
      </c>
      <c r="AY29" s="522" t="s">
        <v>1722</v>
      </c>
      <c r="BB29" s="522" t="s">
        <v>1728</v>
      </c>
      <c r="BC29" s="529">
        <f>MONTH(Техкарта6[[#This Row],[Дата ЛК]])</f>
        <v>1</v>
      </c>
      <c r="BE29" s="487"/>
      <c r="BF29" s="488"/>
      <c r="BG29" s="531"/>
      <c r="BH29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9" s="522">
        <v>6</v>
      </c>
      <c r="BK29" s="529" t="str">
        <f>Техкарта6[[#This Row],[Кв-л]]&amp;" кв ("&amp;Substring(Техкарта6[[#This Row],[Виділ]],"_",1)&amp;" вид) "&amp;Substring(Техкарта6[[#This Row],[Виділ]],"_",2)&amp;" діл."</f>
        <v>70 кв (2 вид) 0 діл.</v>
      </c>
      <c r="BL29" s="529" t="str">
        <f>Техкарта6[[#This Row],[ПолнаяДіл]] &amp;" "&amp;Техкарта6[[#This Row],[ЛК]]</f>
        <v>70 кв (2 вид) 0 діл. 556637</v>
      </c>
      <c r="BM29" s="529">
        <f>MONTH(Техкарта6[[#This Row],[Дата начала робіт договору]])</f>
        <v>1</v>
      </c>
      <c r="BN29" s="529"/>
      <c r="BO29" s="529"/>
      <c r="BP29" s="529"/>
      <c r="BQ29" s="529" t="s">
        <v>1269</v>
      </c>
    </row>
    <row r="30" spans="1:69">
      <c r="A30" s="522" t="s">
        <v>1269</v>
      </c>
      <c r="B30" s="522" t="s">
        <v>296</v>
      </c>
      <c r="C30" s="528" t="s">
        <v>1619</v>
      </c>
      <c r="D30" s="522">
        <v>0</v>
      </c>
      <c r="E30" s="522" t="s">
        <v>1716</v>
      </c>
      <c r="F30" s="522">
        <v>3</v>
      </c>
      <c r="G30" s="522" t="s">
        <v>1750</v>
      </c>
      <c r="H30" s="536">
        <v>113</v>
      </c>
      <c r="I30" s="522" t="s">
        <v>1685</v>
      </c>
      <c r="J30" s="522">
        <v>8.8000000000000007</v>
      </c>
      <c r="K30" s="522">
        <v>1475</v>
      </c>
      <c r="M30" s="522">
        <v>0</v>
      </c>
      <c r="N30" s="522">
        <v>113</v>
      </c>
      <c r="R30" s="522">
        <v>40</v>
      </c>
      <c r="S30" s="522">
        <v>6</v>
      </c>
      <c r="T30" s="522">
        <v>562</v>
      </c>
      <c r="V30" s="522">
        <v>0</v>
      </c>
      <c r="W30" s="522">
        <v>0</v>
      </c>
      <c r="X30" s="529">
        <f>Техкарта6[[#This Row],[Масса]]/Техкарта6[[#This Row],[Кільк-сть дерев]]</f>
        <v>0.48881355932203391</v>
      </c>
      <c r="Y30" s="529">
        <f>SUM(Техкарта6[[#This Row],[Знач1]:[Знач12]])</f>
        <v>721</v>
      </c>
      <c r="Z30" s="529">
        <f>(Техкарта6[[#This Row],[Нелеквид]]+Техкарта6[[#This Row],[Масса]])/Техкарта6[[#This Row],[Площа,га]]</f>
        <v>87.72727272727272</v>
      </c>
      <c r="AA30" s="529">
        <v>113.429</v>
      </c>
      <c r="AB30" s="529"/>
      <c r="AC30" s="522">
        <v>51</v>
      </c>
      <c r="AE30" s="529" t="e">
        <v>#REF!</v>
      </c>
      <c r="AF30" s="522">
        <v>1</v>
      </c>
      <c r="AG30" s="522">
        <v>43101</v>
      </c>
      <c r="AJ30" s="530">
        <v>43109</v>
      </c>
      <c r="AL30" s="533" t="s">
        <v>1689</v>
      </c>
      <c r="AO30" s="529">
        <f>Техкарта6[[#This Row],[Масса]]*Техкарта6[[#This Row],[Витрати кбм]]</f>
        <v>81782.309000000008</v>
      </c>
      <c r="AP30" s="522">
        <v>556629</v>
      </c>
      <c r="AQ30" s="523">
        <v>43102</v>
      </c>
      <c r="AY30" s="522" t="s">
        <v>1722</v>
      </c>
      <c r="BB30" s="522" t="s">
        <v>1728</v>
      </c>
      <c r="BC30" s="529">
        <f>MONTH(Техкарта6[[#This Row],[Дата ЛК]])</f>
        <v>1</v>
      </c>
      <c r="BE30" s="487"/>
      <c r="BF30" s="488"/>
      <c r="BG30" s="531"/>
      <c r="BH30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0" s="522">
        <v>6</v>
      </c>
      <c r="BK30" s="529" t="str">
        <f>Техкарта6[[#This Row],[Кв-л]]&amp;" кв ("&amp;Substring(Техкарта6[[#This Row],[Виділ]],"_",1)&amp;" вид) "&amp;Substring(Техкарта6[[#This Row],[Виділ]],"_",2)&amp;" діл."</f>
        <v>113 кв (7 вид) 0 діл.</v>
      </c>
      <c r="BL30" s="529" t="str">
        <f>Техкарта6[[#This Row],[ПолнаяДіл]] &amp;" "&amp;Техкарта6[[#This Row],[ЛК]]</f>
        <v>113 кв (7 вид) 0 діл. 556629</v>
      </c>
      <c r="BM30" s="529">
        <f>MONTH(Техкарта6[[#This Row],[Дата начала робіт договору]])</f>
        <v>1</v>
      </c>
      <c r="BN30" s="529"/>
      <c r="BO30" s="529"/>
      <c r="BP30" s="529"/>
      <c r="BQ30" s="529" t="s">
        <v>1269</v>
      </c>
    </row>
    <row r="31" spans="1:69">
      <c r="A31" s="522" t="s">
        <v>1269</v>
      </c>
      <c r="B31" s="522" t="s">
        <v>132</v>
      </c>
      <c r="C31" s="528" t="s">
        <v>1693</v>
      </c>
      <c r="D31" s="522">
        <v>0</v>
      </c>
      <c r="E31" s="522" t="s">
        <v>1718</v>
      </c>
      <c r="F31" s="522">
        <v>3</v>
      </c>
      <c r="G31" s="522" t="s">
        <v>1750</v>
      </c>
      <c r="H31" s="536">
        <v>79</v>
      </c>
      <c r="I31" s="522" t="s">
        <v>1659</v>
      </c>
      <c r="J31" s="522">
        <v>2.5</v>
      </c>
      <c r="K31" s="522">
        <v>383</v>
      </c>
      <c r="W31" s="522">
        <v>28</v>
      </c>
      <c r="X31" s="529">
        <f>Техкарта6[[#This Row],[Масса]]/Техкарта6[[#This Row],[Кільк-сть дерев]]</f>
        <v>7.3107049608355096E-2</v>
      </c>
      <c r="Y31" s="529">
        <f>SUM(Техкарта6[[#This Row],[Знач1]:[Знач12]])</f>
        <v>28</v>
      </c>
      <c r="Z31" s="529">
        <f>(Техкарта6[[#This Row],[Нелеквид]]+Техкарта6[[#This Row],[Масса]])/Техкарта6[[#This Row],[Площа,га]]</f>
        <v>12.8</v>
      </c>
      <c r="AA31" s="529">
        <v>213.04900000000001</v>
      </c>
      <c r="AB31" s="529"/>
      <c r="AC31" s="522">
        <v>4</v>
      </c>
      <c r="AE31" s="529" t="e">
        <v>#REF!</v>
      </c>
      <c r="AF31" s="522">
        <v>1</v>
      </c>
      <c r="AG31" s="522">
        <v>43101</v>
      </c>
      <c r="AJ31" s="530">
        <v>43109</v>
      </c>
      <c r="AL31" s="533" t="s">
        <v>916</v>
      </c>
      <c r="AO31" s="529">
        <f>Техкарта6[[#This Row],[Масса]]*Техкарта6[[#This Row],[Витрати кбм]]</f>
        <v>5965.3720000000003</v>
      </c>
      <c r="AP31" s="522">
        <v>556629</v>
      </c>
      <c r="AQ31" s="523">
        <v>43102</v>
      </c>
      <c r="AY31" s="522" t="s">
        <v>1720</v>
      </c>
      <c r="BB31" s="522" t="s">
        <v>1726</v>
      </c>
      <c r="BC31" s="529">
        <f>MONTH(Техкарта6[[#This Row],[Дата ЛК]])</f>
        <v>1</v>
      </c>
      <c r="BE31" s="487"/>
      <c r="BF31" s="488"/>
      <c r="BG31" s="531"/>
      <c r="BH31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1" s="522">
        <v>3</v>
      </c>
      <c r="BK31" s="529" t="str">
        <f>Техкарта6[[#This Row],[Кв-л]]&amp;" кв ("&amp;Substring(Техкарта6[[#This Row],[Виділ]],"_",1)&amp;" вид) "&amp;Substring(Техкарта6[[#This Row],[Виділ]],"_",2)&amp;" діл."</f>
        <v>79 кв (8 вид) 0 діл.</v>
      </c>
      <c r="BL31" s="529" t="str">
        <f>Техкарта6[[#This Row],[ПолнаяДіл]] &amp;" "&amp;Техкарта6[[#This Row],[ЛК]]</f>
        <v>79 кв (8 вид) 0 діл. 556629</v>
      </c>
      <c r="BM31" s="529">
        <f>MONTH(Техкарта6[[#This Row],[Дата начала робіт договору]])</f>
        <v>1</v>
      </c>
      <c r="BN31" s="529"/>
      <c r="BO31" s="529"/>
      <c r="BP31" s="529"/>
      <c r="BQ31" s="529" t="s">
        <v>1269</v>
      </c>
    </row>
    <row r="32" spans="1:69">
      <c r="A32" s="522" t="s">
        <v>1269</v>
      </c>
      <c r="B32" s="522" t="s">
        <v>132</v>
      </c>
      <c r="C32" s="528" t="s">
        <v>1693</v>
      </c>
      <c r="D32" s="522">
        <v>0</v>
      </c>
      <c r="E32" s="522" t="s">
        <v>1718</v>
      </c>
      <c r="F32" s="522">
        <v>3</v>
      </c>
      <c r="G32" s="522" t="s">
        <v>1750</v>
      </c>
      <c r="H32" s="536">
        <v>18</v>
      </c>
      <c r="I32" s="522" t="s">
        <v>1659</v>
      </c>
      <c r="J32" s="522">
        <v>3.1</v>
      </c>
      <c r="K32" s="522">
        <v>310</v>
      </c>
      <c r="T32" s="522">
        <v>17</v>
      </c>
      <c r="W32" s="522">
        <v>0</v>
      </c>
      <c r="X32" s="529">
        <f>Техкарта6[[#This Row],[Масса]]/Техкарта6[[#This Row],[Кільк-сть дерев]]</f>
        <v>5.4838709677419356E-2</v>
      </c>
      <c r="Y32" s="529">
        <f>SUM(Техкарта6[[#This Row],[Знач1]:[Знач12]])</f>
        <v>17</v>
      </c>
      <c r="Z32" s="529">
        <f>(Техкарта6[[#This Row],[Нелеквид]]+Техкарта6[[#This Row],[Масса]])/Техкарта6[[#This Row],[Площа,га]]</f>
        <v>28.064516129032256</v>
      </c>
      <c r="AA32" s="529">
        <v>247.60300000000001</v>
      </c>
      <c r="AB32" s="529"/>
      <c r="AC32" s="522">
        <v>70</v>
      </c>
      <c r="AE32" s="529" t="e">
        <v>#REF!</v>
      </c>
      <c r="AF32" s="522">
        <v>1</v>
      </c>
      <c r="AG32" s="522">
        <v>43101</v>
      </c>
      <c r="AJ32" s="530">
        <v>43109</v>
      </c>
      <c r="AL32" s="533" t="s">
        <v>926</v>
      </c>
      <c r="AO32" s="529">
        <f>Техкарта6[[#This Row],[Масса]]*Техкарта6[[#This Row],[Витрати кбм]]</f>
        <v>4209.2510000000002</v>
      </c>
      <c r="AP32" s="522">
        <v>556634</v>
      </c>
      <c r="AQ32" s="523">
        <v>43102</v>
      </c>
      <c r="AY32" s="522" t="s">
        <v>1720</v>
      </c>
      <c r="BB32" s="522" t="s">
        <v>1726</v>
      </c>
      <c r="BC32" s="529">
        <f>MONTH(Техкарта6[[#This Row],[Дата ЛК]])</f>
        <v>1</v>
      </c>
      <c r="BE32" s="487"/>
      <c r="BF32" s="488"/>
      <c r="BG32" s="531"/>
      <c r="BH3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2" s="522">
        <v>4</v>
      </c>
      <c r="BK32" s="529" t="str">
        <f>Техкарта6[[#This Row],[Кв-л]]&amp;" кв ("&amp;Substring(Техкарта6[[#This Row],[Виділ]],"_",1)&amp;" вид) "&amp;Substring(Техкарта6[[#This Row],[Виділ]],"_",2)&amp;" діл."</f>
        <v>18 кв (8 вид) 0 діл.</v>
      </c>
      <c r="BL32" s="529" t="str">
        <f>Техкарта6[[#This Row],[ПолнаяДіл]] &amp;" "&amp;Техкарта6[[#This Row],[ЛК]]</f>
        <v>18 кв (8 вид) 0 діл. 556634</v>
      </c>
      <c r="BM32" s="529">
        <f>MONTH(Техкарта6[[#This Row],[Дата начала робіт договору]])</f>
        <v>1</v>
      </c>
      <c r="BN32" s="529"/>
      <c r="BO32" s="529"/>
      <c r="BP32" s="529"/>
      <c r="BQ32" s="529" t="s">
        <v>1269</v>
      </c>
    </row>
    <row r="33" spans="1:69">
      <c r="A33" s="522" t="s">
        <v>1269</v>
      </c>
      <c r="B33" s="522" t="s">
        <v>132</v>
      </c>
      <c r="C33" s="528" t="s">
        <v>1693</v>
      </c>
      <c r="D33" s="522">
        <v>0</v>
      </c>
      <c r="E33" s="522" t="s">
        <v>1718</v>
      </c>
      <c r="F33" s="522">
        <v>3</v>
      </c>
      <c r="G33" s="522" t="s">
        <v>1750</v>
      </c>
      <c r="H33" s="529">
        <v>36</v>
      </c>
      <c r="I33" s="522" t="s">
        <v>1694</v>
      </c>
      <c r="J33" s="522">
        <v>5.9</v>
      </c>
      <c r="K33" s="522">
        <v>434</v>
      </c>
      <c r="T33" s="522">
        <v>28</v>
      </c>
      <c r="W33" s="522">
        <v>0</v>
      </c>
      <c r="X33" s="529">
        <f>Техкарта6[[#This Row],[Масса]]/Техкарта6[[#This Row],[Кільк-сть дерев]]</f>
        <v>6.4516129032258063E-2</v>
      </c>
      <c r="Y33" s="529">
        <f>SUM(Техкарта6[[#This Row],[Знач1]:[Знач12]])</f>
        <v>28</v>
      </c>
      <c r="Z33" s="529">
        <f>(Техкарта6[[#This Row],[Нелеквид]]+Техкарта6[[#This Row],[Масса]])/Техкарта6[[#This Row],[Площа,га]]</f>
        <v>17.457627118644066</v>
      </c>
      <c r="AA33" s="529">
        <v>232.625</v>
      </c>
      <c r="AB33" s="529"/>
      <c r="AC33" s="522">
        <v>75</v>
      </c>
      <c r="AE33" s="529" t="e">
        <v>#REF!</v>
      </c>
      <c r="AF33" s="522">
        <v>1</v>
      </c>
      <c r="AG33" s="522">
        <v>43101</v>
      </c>
      <c r="AJ33" s="530">
        <v>43109</v>
      </c>
      <c r="AL33" s="533" t="s">
        <v>1012</v>
      </c>
      <c r="AO33" s="529">
        <f>Техкарта6[[#This Row],[Масса]]*Техкарта6[[#This Row],[Витрати кбм]]</f>
        <v>6513.5</v>
      </c>
      <c r="AP33" s="522">
        <v>556634</v>
      </c>
      <c r="AQ33" s="523">
        <v>43102</v>
      </c>
      <c r="AY33" s="522" t="s">
        <v>1720</v>
      </c>
      <c r="BB33" s="522" t="s">
        <v>1726</v>
      </c>
      <c r="BC33" s="529">
        <f>MONTH(Техкарта6[[#This Row],[Дата ЛК]])</f>
        <v>1</v>
      </c>
      <c r="BE33" s="487"/>
      <c r="BF33" s="488"/>
      <c r="BG33" s="531"/>
      <c r="BH3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3" s="522">
        <v>5</v>
      </c>
      <c r="BK33" s="529" t="str">
        <f>Техкарта6[[#This Row],[Кв-л]]&amp;" кв ("&amp;Substring(Техкарта6[[#This Row],[Виділ]],"_",1)&amp;" вид) "&amp;Substring(Техкарта6[[#This Row],[Виділ]],"_",2)&amp;" діл."</f>
        <v>36 кв (13 вид) 0 діл.</v>
      </c>
      <c r="BL33" s="529" t="str">
        <f>Техкарта6[[#This Row],[ПолнаяДіл]] &amp;" "&amp;Техкарта6[[#This Row],[ЛК]]</f>
        <v>36 кв (13 вид) 0 діл. 556634</v>
      </c>
      <c r="BM33" s="529">
        <f>MONTH(Техкарта6[[#This Row],[Дата начала робіт договору]])</f>
        <v>1</v>
      </c>
      <c r="BN33" s="529"/>
      <c r="BO33" s="529"/>
      <c r="BP33" s="529"/>
      <c r="BQ33" s="529" t="s">
        <v>1269</v>
      </c>
    </row>
    <row r="34" spans="1:69">
      <c r="A34" s="522" t="s">
        <v>31</v>
      </c>
      <c r="B34" s="453" t="s">
        <v>296</v>
      </c>
      <c r="C34" s="537" t="s">
        <v>31</v>
      </c>
      <c r="D34" s="453">
        <v>0</v>
      </c>
      <c r="E34" s="453" t="s">
        <v>1716</v>
      </c>
      <c r="F34" s="453">
        <v>3</v>
      </c>
      <c r="G34" s="453" t="s">
        <v>1661</v>
      </c>
      <c r="H34" s="453">
        <v>30</v>
      </c>
      <c r="I34" s="453" t="s">
        <v>1426</v>
      </c>
      <c r="J34" s="453">
        <v>3</v>
      </c>
      <c r="K34" s="453">
        <v>840</v>
      </c>
      <c r="L34" s="453">
        <v>0</v>
      </c>
      <c r="M34" s="453">
        <v>1</v>
      </c>
      <c r="N34" s="453">
        <v>284</v>
      </c>
      <c r="O34" s="453">
        <v>0</v>
      </c>
      <c r="P34" s="453">
        <v>0</v>
      </c>
      <c r="Q34" s="453">
        <v>28</v>
      </c>
      <c r="R34" s="453">
        <v>78</v>
      </c>
      <c r="S34" s="453">
        <v>20</v>
      </c>
      <c r="T34" s="453">
        <v>328</v>
      </c>
      <c r="U34" s="453">
        <v>26</v>
      </c>
      <c r="V34" s="453">
        <v>16</v>
      </c>
      <c r="W34" s="453">
        <v>233</v>
      </c>
      <c r="X34" s="538">
        <f>Техкарта6[[#This Row],[Масса]]/Техкарта6[[#This Row],[Кільк-сть дерев]]</f>
        <v>1.2071428571428571</v>
      </c>
      <c r="Y34" s="538">
        <f>SUM(Техкарта6[[#This Row],[Знач1]:[Знач12]])</f>
        <v>1014</v>
      </c>
      <c r="Z34" s="538">
        <f>(Техкарта6[[#This Row],[Нелеквид]]+Техкарта6[[#This Row],[Масса]])/Техкарта6[[#This Row],[Площа,га]]</f>
        <v>338</v>
      </c>
      <c r="AA34" s="535">
        <v>78.692999999999998</v>
      </c>
      <c r="AB34" s="535">
        <v>29.074999999999999</v>
      </c>
      <c r="AC34" s="535"/>
      <c r="AD34" s="535"/>
      <c r="AE34" s="538" t="e">
        <v>#REF!</v>
      </c>
      <c r="AF34" s="522">
        <v>1</v>
      </c>
      <c r="AG34" s="522">
        <v>43101</v>
      </c>
      <c r="AH34" s="535"/>
      <c r="AI34" s="535"/>
      <c r="AJ34" s="530">
        <v>43109</v>
      </c>
      <c r="AK34" s="535"/>
      <c r="AL34" s="533" t="s">
        <v>1035</v>
      </c>
      <c r="AM34" s="535"/>
      <c r="AN34" s="535"/>
      <c r="AO34" s="529">
        <f>Техкарта6[[#This Row],[Масса]]*Техкарта6[[#This Row],[Витрати кбм]]</f>
        <v>79794.702000000005</v>
      </c>
      <c r="AP34" s="522">
        <v>556622</v>
      </c>
      <c r="AQ34" s="523" t="s">
        <v>1719</v>
      </c>
      <c r="AR34" s="535"/>
      <c r="AS34" s="535"/>
      <c r="AT34" s="535"/>
      <c r="AU34" s="535"/>
      <c r="AV34" s="535"/>
      <c r="AW34" s="535"/>
      <c r="AX34" s="535"/>
      <c r="AY34" s="522" t="s">
        <v>1722</v>
      </c>
      <c r="AZ34" s="535"/>
      <c r="BA34" s="535"/>
      <c r="BB34" s="522" t="s">
        <v>1728</v>
      </c>
      <c r="BC34" s="529">
        <f>MONTH(Техкарта6[[#This Row],[Дата ЛК]])</f>
        <v>12</v>
      </c>
      <c r="BD34" s="535"/>
      <c r="BE34" s="487">
        <v>9.8000000000000007</v>
      </c>
      <c r="BF34" s="488">
        <v>40</v>
      </c>
      <c r="BG34" s="531" t="s">
        <v>1764</v>
      </c>
      <c r="BH3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4" s="535"/>
      <c r="BJ34" s="535">
        <v>2</v>
      </c>
      <c r="BK34" s="538" t="str">
        <f>Техкарта6[[#This Row],[Кв-л]]&amp;" кв ("&amp;Substring(Техкарта6[[#This Row],[Виділ]],"_",1)&amp;" вид) "&amp;Substring(Техкарта6[[#This Row],[Виділ]],"_",2)&amp;" діл."</f>
        <v>30 кв (2 вид) 5 діл.</v>
      </c>
      <c r="BL34" s="538" t="str">
        <f>Техкарта6[[#This Row],[ПолнаяДіл]] &amp;" "&amp;Техкарта6[[#This Row],[ЛК]]</f>
        <v>30 кв (2 вид) 5 діл. 556622</v>
      </c>
      <c r="BM34" s="538">
        <f>MONTH(Техкарта6[[#This Row],[Дата начала робіт договору]])</f>
        <v>1</v>
      </c>
      <c r="BN34" s="529" t="s">
        <v>1765</v>
      </c>
      <c r="BO34" s="529" t="s">
        <v>1765</v>
      </c>
      <c r="BP34" s="529" t="s">
        <v>1765</v>
      </c>
      <c r="BQ34" s="522" t="s">
        <v>31</v>
      </c>
    </row>
    <row r="35" spans="1:69">
      <c r="A35" s="522" t="s">
        <v>1269</v>
      </c>
      <c r="B35" s="453" t="s">
        <v>19</v>
      </c>
      <c r="C35" s="537" t="s">
        <v>1619</v>
      </c>
      <c r="D35" s="453">
        <v>0</v>
      </c>
      <c r="E35" s="453" t="s">
        <v>1718</v>
      </c>
      <c r="F35" s="453">
        <v>3</v>
      </c>
      <c r="G35" s="453" t="s">
        <v>1750</v>
      </c>
      <c r="H35" s="453">
        <v>77</v>
      </c>
      <c r="I35" s="453" t="s">
        <v>1685</v>
      </c>
      <c r="J35" s="453">
        <v>5.4</v>
      </c>
      <c r="K35" s="453">
        <v>544</v>
      </c>
      <c r="L35" s="453"/>
      <c r="M35" s="453"/>
      <c r="N35" s="453">
        <v>5</v>
      </c>
      <c r="O35" s="453"/>
      <c r="P35" s="453"/>
      <c r="Q35" s="453"/>
      <c r="R35" s="453"/>
      <c r="S35" s="453"/>
      <c r="T35" s="453">
        <v>140</v>
      </c>
      <c r="U35" s="453"/>
      <c r="V35" s="453"/>
      <c r="W35" s="453">
        <v>10</v>
      </c>
      <c r="X35" s="538">
        <f>Техкарта6[[#This Row],[Масса]]/Техкарта6[[#This Row],[Кільк-сть дерев]]</f>
        <v>0.28492647058823528</v>
      </c>
      <c r="Y35" s="538">
        <f>SUM(Техкарта6[[#This Row],[Знач1]:[Знач12]])</f>
        <v>155</v>
      </c>
      <c r="Z35" s="538">
        <f>(Техкарта6[[#This Row],[Нелеквид]]+Техкарта6[[#This Row],[Масса]])/Техкарта6[[#This Row],[Площа,га]]</f>
        <v>31.111111111111111</v>
      </c>
      <c r="AA35" s="535">
        <v>92.813000000000002</v>
      </c>
      <c r="AB35" s="535"/>
      <c r="AC35" s="535">
        <v>13</v>
      </c>
      <c r="AD35" s="535"/>
      <c r="AE35" s="538" t="e">
        <v>#REF!</v>
      </c>
      <c r="AF35" s="522">
        <v>1</v>
      </c>
      <c r="AG35" s="522">
        <v>43101</v>
      </c>
      <c r="AH35" s="535"/>
      <c r="AI35" s="535"/>
      <c r="AJ35" s="530">
        <v>43109</v>
      </c>
      <c r="AK35" s="535"/>
      <c r="AL35" s="533" t="s">
        <v>912</v>
      </c>
      <c r="AM35" s="535"/>
      <c r="AN35" s="535"/>
      <c r="AO35" s="529">
        <f>Техкарта6[[#This Row],[Масса]]*Техкарта6[[#This Row],[Витрати кбм]]</f>
        <v>14386.015000000001</v>
      </c>
      <c r="AP35" s="522">
        <v>555641</v>
      </c>
      <c r="AQ35" s="523">
        <v>43102</v>
      </c>
      <c r="AR35" s="535"/>
      <c r="AS35" s="535"/>
      <c r="AT35" s="535"/>
      <c r="AU35" s="535"/>
      <c r="AV35" s="535"/>
      <c r="AW35" s="535"/>
      <c r="AX35" s="535"/>
      <c r="AY35" s="522" t="s">
        <v>1720</v>
      </c>
      <c r="AZ35" s="535"/>
      <c r="BA35" s="535"/>
      <c r="BB35" s="522" t="s">
        <v>1726</v>
      </c>
      <c r="BC35" s="529">
        <f>MONTH(Техкарта6[[#This Row],[Дата ЛК]])</f>
        <v>1</v>
      </c>
      <c r="BD35" s="535"/>
      <c r="BE35" s="487"/>
      <c r="BF35" s="488"/>
      <c r="BG35" s="531"/>
      <c r="BH3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5" s="535"/>
      <c r="BJ35" s="535">
        <v>6</v>
      </c>
      <c r="BK35" s="538" t="str">
        <f>Техкарта6[[#This Row],[Кв-л]]&amp;" кв ("&amp;Substring(Техкарта6[[#This Row],[Виділ]],"_",1)&amp;" вид) "&amp;Substring(Техкарта6[[#This Row],[Виділ]],"_",2)&amp;" діл."</f>
        <v>77 кв (7 вид) 0 діл.</v>
      </c>
      <c r="BL35" s="538" t="str">
        <f>Техкарта6[[#This Row],[ПолнаяДіл]] &amp;" "&amp;Техкарта6[[#This Row],[ЛК]]</f>
        <v>77 кв (7 вид) 0 діл. 555641</v>
      </c>
      <c r="BM35" s="538">
        <f>MONTH(Техкарта6[[#This Row],[Дата начала робіт договору]])</f>
        <v>1</v>
      </c>
      <c r="BN35" s="529"/>
      <c r="BO35" s="529"/>
      <c r="BP35" s="529"/>
      <c r="BQ35" s="529" t="s">
        <v>1269</v>
      </c>
    </row>
    <row r="36" spans="1:69">
      <c r="A36" s="522" t="s">
        <v>1269</v>
      </c>
      <c r="B36" s="453" t="s">
        <v>85</v>
      </c>
      <c r="C36" s="537" t="s">
        <v>1693</v>
      </c>
      <c r="D36" s="453">
        <v>0</v>
      </c>
      <c r="E36" s="453" t="s">
        <v>1718</v>
      </c>
      <c r="F36" s="453">
        <v>3</v>
      </c>
      <c r="G36" s="453" t="s">
        <v>1750</v>
      </c>
      <c r="H36" s="453">
        <v>55</v>
      </c>
      <c r="I36" s="453" t="s">
        <v>1632</v>
      </c>
      <c r="J36" s="453">
        <v>6.3</v>
      </c>
      <c r="K36" s="453">
        <v>1947</v>
      </c>
      <c r="L36" s="453"/>
      <c r="M36" s="453"/>
      <c r="N36" s="453">
        <v>0</v>
      </c>
      <c r="O36" s="453"/>
      <c r="P36" s="453"/>
      <c r="Q36" s="453"/>
      <c r="R36" s="453"/>
      <c r="S36" s="453"/>
      <c r="T36" s="453">
        <v>0</v>
      </c>
      <c r="U36" s="453"/>
      <c r="V36" s="453"/>
      <c r="W36" s="453">
        <v>156</v>
      </c>
      <c r="X36" s="538">
        <f>Техкарта6[[#This Row],[Масса]]/Техкарта6[[#This Row],[Кільк-сть дерев]]</f>
        <v>8.0123266563944529E-2</v>
      </c>
      <c r="Y36" s="538">
        <f>SUM(Техкарта6[[#This Row],[Знач1]:[Знач12]])</f>
        <v>156</v>
      </c>
      <c r="Z36" s="538">
        <f>(Техкарта6[[#This Row],[Нелеквид]]+Техкарта6[[#This Row],[Масса]])/Техкарта6[[#This Row],[Площа,га]]</f>
        <v>32.698412698412696</v>
      </c>
      <c r="AA36" s="535">
        <v>170.518</v>
      </c>
      <c r="AB36" s="535"/>
      <c r="AC36" s="535">
        <v>50</v>
      </c>
      <c r="AD36" s="535"/>
      <c r="AE36" s="538" t="e">
        <v>#REF!</v>
      </c>
      <c r="AF36" s="522">
        <v>1</v>
      </c>
      <c r="AG36" s="522">
        <v>43101</v>
      </c>
      <c r="AH36" s="535"/>
      <c r="AI36" s="535"/>
      <c r="AJ36" s="530">
        <v>43109</v>
      </c>
      <c r="AK36" s="535"/>
      <c r="AL36" s="533" t="s">
        <v>1008</v>
      </c>
      <c r="AM36" s="535"/>
      <c r="AN36" s="535"/>
      <c r="AO36" s="529">
        <f>Техкарта6[[#This Row],[Масса]]*Техкарта6[[#This Row],[Витрати кбм]]</f>
        <v>26600.808000000001</v>
      </c>
      <c r="AP36" s="522">
        <v>556631</v>
      </c>
      <c r="AQ36" s="523">
        <v>43102</v>
      </c>
      <c r="AR36" s="535"/>
      <c r="AS36" s="535"/>
      <c r="AT36" s="535"/>
      <c r="AU36" s="535"/>
      <c r="AV36" s="535"/>
      <c r="AW36" s="535"/>
      <c r="AX36" s="535"/>
      <c r="AY36" s="522" t="s">
        <v>1717</v>
      </c>
      <c r="AZ36" s="535"/>
      <c r="BA36" s="535"/>
      <c r="BB36" s="522" t="s">
        <v>1727</v>
      </c>
      <c r="BC36" s="529">
        <f>MONTH(Техкарта6[[#This Row],[Дата ЛК]])</f>
        <v>1</v>
      </c>
      <c r="BD36" s="535"/>
      <c r="BE36" s="487"/>
      <c r="BF36" s="488"/>
      <c r="BG36" s="531"/>
      <c r="BH3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6" s="535"/>
      <c r="BJ36" s="535">
        <v>8</v>
      </c>
      <c r="BK36" s="538" t="str">
        <f>Техкарта6[[#This Row],[Кв-л]]&amp;" кв ("&amp;Substring(Техкарта6[[#This Row],[Виділ]],"_",1)&amp;" вид) "&amp;Substring(Техкарта6[[#This Row],[Виділ]],"_",2)&amp;" діл."</f>
        <v>55 кв (2 вид) 0 діл.</v>
      </c>
      <c r="BL36" s="538" t="str">
        <f>Техкарта6[[#This Row],[ПолнаяДіл]] &amp;" "&amp;Техкарта6[[#This Row],[ЛК]]</f>
        <v>55 кв (2 вид) 0 діл. 556631</v>
      </c>
      <c r="BM36" s="538">
        <f>MONTH(Техкарта6[[#This Row],[Дата начала робіт договору]])</f>
        <v>1</v>
      </c>
      <c r="BN36" s="529"/>
      <c r="BO36" s="529"/>
      <c r="BP36" s="529"/>
      <c r="BQ36" s="529" t="s">
        <v>1269</v>
      </c>
    </row>
    <row r="37" spans="1:69">
      <c r="A37" s="522" t="s">
        <v>1269</v>
      </c>
      <c r="B37" s="453" t="s">
        <v>85</v>
      </c>
      <c r="C37" s="537" t="s">
        <v>1619</v>
      </c>
      <c r="D37" s="453">
        <v>0</v>
      </c>
      <c r="E37" s="453" t="s">
        <v>1718</v>
      </c>
      <c r="F37" s="453">
        <v>3</v>
      </c>
      <c r="G37" s="453" t="s">
        <v>1750</v>
      </c>
      <c r="H37" s="453">
        <v>98</v>
      </c>
      <c r="I37" s="453" t="s">
        <v>1684</v>
      </c>
      <c r="J37" s="453">
        <v>2.5</v>
      </c>
      <c r="K37" s="453">
        <v>988</v>
      </c>
      <c r="L37" s="453"/>
      <c r="M37" s="453">
        <v>38</v>
      </c>
      <c r="N37" s="453">
        <v>0</v>
      </c>
      <c r="O37" s="453"/>
      <c r="P37" s="453"/>
      <c r="Q37" s="453"/>
      <c r="R37" s="453"/>
      <c r="S37" s="453">
        <v>500</v>
      </c>
      <c r="T37" s="453">
        <v>0</v>
      </c>
      <c r="U37" s="453"/>
      <c r="V37" s="453">
        <v>37</v>
      </c>
      <c r="W37" s="453">
        <v>0</v>
      </c>
      <c r="X37" s="538">
        <f>Техкарта6[[#This Row],[Масса]]/Техкарта6[[#This Row],[Кільк-сть дерев]]</f>
        <v>0.58198380566801622</v>
      </c>
      <c r="Y37" s="538">
        <f>SUM(Техкарта6[[#This Row],[Знач1]:[Знач12]])</f>
        <v>575</v>
      </c>
      <c r="Z37" s="538">
        <f>(Техкарта6[[#This Row],[Нелеквид]]+Техкарта6[[#This Row],[Масса]])/Техкарта6[[#This Row],[Площа,га]]</f>
        <v>248.4</v>
      </c>
      <c r="AA37" s="535">
        <v>68.587999999999994</v>
      </c>
      <c r="AB37" s="535"/>
      <c r="AC37" s="535">
        <v>46</v>
      </c>
      <c r="AD37" s="535"/>
      <c r="AE37" s="538" t="e">
        <v>#REF!</v>
      </c>
      <c r="AF37" s="522">
        <v>1</v>
      </c>
      <c r="AG37" s="522">
        <v>43101</v>
      </c>
      <c r="AH37" s="535"/>
      <c r="AI37" s="535"/>
      <c r="AJ37" s="530">
        <v>43109</v>
      </c>
      <c r="AK37" s="535"/>
      <c r="AL37" s="533" t="s">
        <v>1713</v>
      </c>
      <c r="AM37" s="535"/>
      <c r="AN37" s="535"/>
      <c r="AO37" s="529">
        <f>Техкарта6[[#This Row],[Масса]]*Техкарта6[[#This Row],[Витрати кбм]]</f>
        <v>39438.1</v>
      </c>
      <c r="AP37" s="522">
        <v>556632</v>
      </c>
      <c r="AQ37" s="523">
        <v>43102</v>
      </c>
      <c r="AR37" s="535"/>
      <c r="AS37" s="535"/>
      <c r="AT37" s="535"/>
      <c r="AU37" s="535"/>
      <c r="AV37" s="535"/>
      <c r="AW37" s="535"/>
      <c r="AX37" s="535"/>
      <c r="AY37" s="522" t="s">
        <v>1717</v>
      </c>
      <c r="AZ37" s="535"/>
      <c r="BA37" s="535"/>
      <c r="BB37" s="522" t="s">
        <v>1727</v>
      </c>
      <c r="BC37" s="529">
        <f>MONTH(Техкарта6[[#This Row],[Дата ЛК]])</f>
        <v>1</v>
      </c>
      <c r="BD37" s="535"/>
      <c r="BE37" s="487"/>
      <c r="BF37" s="488"/>
      <c r="BG37" s="531"/>
      <c r="BH3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7" s="535"/>
      <c r="BJ37" s="535">
        <v>10</v>
      </c>
      <c r="BK37" s="538" t="str">
        <f>Техкарта6[[#This Row],[Кв-л]]&amp;" кв ("&amp;Substring(Техкарта6[[#This Row],[Виділ]],"_",1)&amp;" вид) "&amp;Substring(Техкарта6[[#This Row],[Виділ]],"_",2)&amp;" діл."</f>
        <v>98 кв (10 вид) 0 діл.</v>
      </c>
      <c r="BL37" s="538" t="str">
        <f>Техкарта6[[#This Row],[ПолнаяДіл]] &amp;" "&amp;Техкарта6[[#This Row],[ЛК]]</f>
        <v>98 кв (10 вид) 0 діл. 556632</v>
      </c>
      <c r="BM37" s="538">
        <f>MONTH(Техкарта6[[#This Row],[Дата начала робіт договору]])</f>
        <v>1</v>
      </c>
      <c r="BN37" s="529"/>
      <c r="BO37" s="529"/>
      <c r="BP37" s="529"/>
      <c r="BQ37" s="529" t="s">
        <v>1269</v>
      </c>
    </row>
    <row r="38" spans="1:69">
      <c r="A38" s="522" t="s">
        <v>1269</v>
      </c>
      <c r="B38" s="453" t="s">
        <v>19</v>
      </c>
      <c r="C38" s="537" t="s">
        <v>1619</v>
      </c>
      <c r="D38" s="453">
        <v>0</v>
      </c>
      <c r="E38" s="453" t="s">
        <v>1718</v>
      </c>
      <c r="F38" s="453">
        <v>3</v>
      </c>
      <c r="G38" s="453" t="s">
        <v>1750</v>
      </c>
      <c r="H38" s="453">
        <v>2</v>
      </c>
      <c r="I38" s="453" t="s">
        <v>1632</v>
      </c>
      <c r="J38" s="453">
        <v>1.6</v>
      </c>
      <c r="K38" s="453">
        <v>258</v>
      </c>
      <c r="L38" s="453"/>
      <c r="M38" s="453">
        <v>0</v>
      </c>
      <c r="N38" s="453">
        <v>20</v>
      </c>
      <c r="O38" s="453"/>
      <c r="P38" s="453"/>
      <c r="Q38" s="453"/>
      <c r="R38" s="453"/>
      <c r="S38" s="453">
        <v>88</v>
      </c>
      <c r="T38" s="453">
        <v>0</v>
      </c>
      <c r="U38" s="453"/>
      <c r="V38" s="453">
        <v>0</v>
      </c>
      <c r="W38" s="453">
        <v>0</v>
      </c>
      <c r="X38" s="538">
        <f>Техкарта6[[#This Row],[Масса]]/Техкарта6[[#This Row],[Кільк-сть дерев]]</f>
        <v>0.41860465116279072</v>
      </c>
      <c r="Y38" s="538">
        <f>SUM(Техкарта6[[#This Row],[Знач1]:[Знач12]])</f>
        <v>108</v>
      </c>
      <c r="Z38" s="538">
        <f>(Техкарта6[[#This Row],[Нелеквид]]+Техкарта6[[#This Row],[Масса]])/Техкарта6[[#This Row],[Площа,га]]</f>
        <v>73.125</v>
      </c>
      <c r="AA38" s="535">
        <v>75.734999999999999</v>
      </c>
      <c r="AB38" s="535"/>
      <c r="AC38" s="535">
        <v>9</v>
      </c>
      <c r="AD38" s="535"/>
      <c r="AE38" s="538" t="e">
        <v>#REF!</v>
      </c>
      <c r="AF38" s="522">
        <v>1</v>
      </c>
      <c r="AG38" s="522">
        <v>43101</v>
      </c>
      <c r="AH38" s="535"/>
      <c r="AI38" s="535"/>
      <c r="AJ38" s="530">
        <v>43109</v>
      </c>
      <c r="AK38" s="535"/>
      <c r="AL38" s="533" t="s">
        <v>999</v>
      </c>
      <c r="AM38" s="535"/>
      <c r="AN38" s="535"/>
      <c r="AO38" s="529">
        <f>Техкарта6[[#This Row],[Масса]]*Техкарта6[[#This Row],[Витрати кбм]]</f>
        <v>8179.38</v>
      </c>
      <c r="AP38" s="522">
        <v>556641</v>
      </c>
      <c r="AQ38" s="523">
        <v>43102</v>
      </c>
      <c r="AR38" s="535"/>
      <c r="AS38" s="535"/>
      <c r="AT38" s="535"/>
      <c r="AU38" s="535"/>
      <c r="AV38" s="535"/>
      <c r="AW38" s="535"/>
      <c r="AX38" s="535"/>
      <c r="AY38" s="522" t="s">
        <v>1720</v>
      </c>
      <c r="AZ38" s="535"/>
      <c r="BA38" s="535"/>
      <c r="BB38" s="522" t="s">
        <v>1726</v>
      </c>
      <c r="BC38" s="529">
        <f>MONTH(Техкарта6[[#This Row],[Дата ЛК]])</f>
        <v>1</v>
      </c>
      <c r="BD38" s="535"/>
      <c r="BE38" s="487"/>
      <c r="BF38" s="488"/>
      <c r="BG38" s="531"/>
      <c r="BH3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8" s="535"/>
      <c r="BJ38" s="535">
        <v>7</v>
      </c>
      <c r="BK38" s="538" t="str">
        <f>Техкарта6[[#This Row],[Кв-л]]&amp;" кв ("&amp;Substring(Техкарта6[[#This Row],[Виділ]],"_",1)&amp;" вид) "&amp;Substring(Техкарта6[[#This Row],[Виділ]],"_",2)&amp;" діл."</f>
        <v>2 кв (2 вид) 0 діл.</v>
      </c>
      <c r="BL38" s="538" t="str">
        <f>Техкарта6[[#This Row],[ПолнаяДіл]] &amp;" "&amp;Техкарта6[[#This Row],[ЛК]]</f>
        <v>2 кв (2 вид) 0 діл. 556641</v>
      </c>
      <c r="BM38" s="538">
        <f>MONTH(Техкарта6[[#This Row],[Дата начала робіт договору]])</f>
        <v>1</v>
      </c>
      <c r="BN38" s="529"/>
      <c r="BO38" s="529"/>
      <c r="BP38" s="529"/>
      <c r="BQ38" s="529" t="s">
        <v>1269</v>
      </c>
    </row>
    <row r="39" spans="1:69">
      <c r="A39" s="522" t="s">
        <v>1269</v>
      </c>
      <c r="B39" s="453" t="s">
        <v>19</v>
      </c>
      <c r="C39" s="537" t="s">
        <v>1619</v>
      </c>
      <c r="D39" s="453">
        <v>0</v>
      </c>
      <c r="E39" s="453" t="s">
        <v>1718</v>
      </c>
      <c r="F39" s="453">
        <v>3</v>
      </c>
      <c r="G39" s="453" t="s">
        <v>1750</v>
      </c>
      <c r="H39" s="453">
        <v>12</v>
      </c>
      <c r="I39" s="453" t="s">
        <v>1687</v>
      </c>
      <c r="J39" s="453">
        <v>0.3</v>
      </c>
      <c r="K39" s="453">
        <v>59</v>
      </c>
      <c r="L39" s="453"/>
      <c r="M39" s="453">
        <v>0</v>
      </c>
      <c r="N39" s="453">
        <v>0</v>
      </c>
      <c r="O39" s="453"/>
      <c r="P39" s="453"/>
      <c r="Q39" s="453"/>
      <c r="R39" s="453"/>
      <c r="S39" s="453">
        <v>0</v>
      </c>
      <c r="T39" s="453">
        <v>0</v>
      </c>
      <c r="U39" s="453"/>
      <c r="V39" s="453">
        <v>0</v>
      </c>
      <c r="W39" s="453">
        <v>5</v>
      </c>
      <c r="X39" s="538">
        <f>Техкарта6[[#This Row],[Масса]]/Техкарта6[[#This Row],[Кільк-сть дерев]]</f>
        <v>8.4745762711864403E-2</v>
      </c>
      <c r="Y39" s="538">
        <f>SUM(Техкарта6[[#This Row],[Знач1]:[Знач12]])</f>
        <v>5</v>
      </c>
      <c r="Z39" s="538">
        <f>(Техкарта6[[#This Row],[Нелеквид]]+Техкарта6[[#This Row],[Масса]])/Техкарта6[[#This Row],[Площа,га]]</f>
        <v>20</v>
      </c>
      <c r="AA39" s="535">
        <v>184.233</v>
      </c>
      <c r="AB39" s="535"/>
      <c r="AC39" s="535">
        <v>1</v>
      </c>
      <c r="AD39" s="535"/>
      <c r="AE39" s="538" t="e">
        <v>#REF!</v>
      </c>
      <c r="AF39" s="522">
        <v>1</v>
      </c>
      <c r="AG39" s="522">
        <v>43101</v>
      </c>
      <c r="AH39" s="535"/>
      <c r="AI39" s="535"/>
      <c r="AJ39" s="530">
        <v>43109</v>
      </c>
      <c r="AK39" s="535"/>
      <c r="AL39" s="533" t="s">
        <v>999</v>
      </c>
      <c r="AM39" s="535"/>
      <c r="AN39" s="535"/>
      <c r="AO39" s="529">
        <f>Техкарта6[[#This Row],[Масса]]*Техкарта6[[#This Row],[Витрати кбм]]</f>
        <v>921.16499999999996</v>
      </c>
      <c r="AP39" s="522">
        <v>556641</v>
      </c>
      <c r="AQ39" s="523">
        <v>43102</v>
      </c>
      <c r="AR39" s="535"/>
      <c r="AS39" s="535"/>
      <c r="AT39" s="535"/>
      <c r="AU39" s="535"/>
      <c r="AV39" s="535"/>
      <c r="AW39" s="535"/>
      <c r="AX39" s="535"/>
      <c r="AY39" s="522" t="s">
        <v>1720</v>
      </c>
      <c r="AZ39" s="535"/>
      <c r="BA39" s="535"/>
      <c r="BB39" s="522" t="s">
        <v>1726</v>
      </c>
      <c r="BC39" s="529">
        <f>MONTH(Техкарта6[[#This Row],[Дата ЛК]])</f>
        <v>1</v>
      </c>
      <c r="BD39" s="535"/>
      <c r="BE39" s="487"/>
      <c r="BF39" s="488"/>
      <c r="BG39" s="531"/>
      <c r="BH3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9" s="535"/>
      <c r="BJ39" s="535">
        <v>10</v>
      </c>
      <c r="BK39" s="538" t="str">
        <f>Техкарта6[[#This Row],[Кв-л]]&amp;" кв ("&amp;Substring(Техкарта6[[#This Row],[Виділ]],"_",1)&amp;" вид) "&amp;Substring(Техкарта6[[#This Row],[Виділ]],"_",2)&amp;" діл."</f>
        <v>12 кв (5 вид) 0 діл.</v>
      </c>
      <c r="BL39" s="538" t="str">
        <f>Техкарта6[[#This Row],[ПолнаяДіл]] &amp;" "&amp;Техкарта6[[#This Row],[ЛК]]</f>
        <v>12 кв (5 вид) 0 діл. 556641</v>
      </c>
      <c r="BM39" s="538">
        <f>MONTH(Техкарта6[[#This Row],[Дата начала робіт договору]])</f>
        <v>1</v>
      </c>
      <c r="BN39" s="529"/>
      <c r="BO39" s="529"/>
      <c r="BP39" s="529"/>
      <c r="BQ39" s="529" t="s">
        <v>1269</v>
      </c>
    </row>
    <row r="40" spans="1:69">
      <c r="A40" s="522" t="s">
        <v>1269</v>
      </c>
      <c r="B40" s="453" t="s">
        <v>177</v>
      </c>
      <c r="C40" s="537" t="s">
        <v>1619</v>
      </c>
      <c r="D40" s="453">
        <v>0</v>
      </c>
      <c r="E40" s="453" t="s">
        <v>1718</v>
      </c>
      <c r="F40" s="453">
        <v>3</v>
      </c>
      <c r="G40" s="453" t="s">
        <v>1750</v>
      </c>
      <c r="H40" s="453">
        <v>26</v>
      </c>
      <c r="I40" s="453" t="s">
        <v>1664</v>
      </c>
      <c r="J40" s="453">
        <v>0.7</v>
      </c>
      <c r="K40" s="453">
        <v>102</v>
      </c>
      <c r="L40" s="453"/>
      <c r="M40" s="453">
        <v>0</v>
      </c>
      <c r="N40" s="453">
        <v>0</v>
      </c>
      <c r="O40" s="453"/>
      <c r="P40" s="453"/>
      <c r="Q40" s="453"/>
      <c r="R40" s="453"/>
      <c r="S40" s="453">
        <v>0</v>
      </c>
      <c r="T40" s="453">
        <v>0</v>
      </c>
      <c r="U40" s="453"/>
      <c r="V40" s="453">
        <v>0</v>
      </c>
      <c r="W40" s="453">
        <v>10</v>
      </c>
      <c r="X40" s="538">
        <f>Техкарта6[[#This Row],[Масса]]/Техкарта6[[#This Row],[Кільк-сть дерев]]</f>
        <v>9.8039215686274508E-2</v>
      </c>
      <c r="Y40" s="538">
        <f>SUM(Техкарта6[[#This Row],[Знач1]:[Знач12]])</f>
        <v>10</v>
      </c>
      <c r="Z40" s="538">
        <f>(Техкарта6[[#This Row],[Нелеквид]]+Техкарта6[[#This Row],[Масса]])/Техкарта6[[#This Row],[Площа,га]]</f>
        <v>15.714285714285715</v>
      </c>
      <c r="AA40" s="535">
        <v>155.04900000000001</v>
      </c>
      <c r="AB40" s="535"/>
      <c r="AC40" s="535">
        <v>1</v>
      </c>
      <c r="AD40" s="535"/>
      <c r="AE40" s="538" t="e">
        <v>#REF!</v>
      </c>
      <c r="AF40" s="522">
        <v>1</v>
      </c>
      <c r="AG40" s="522">
        <v>43101</v>
      </c>
      <c r="AH40" s="535"/>
      <c r="AI40" s="535"/>
      <c r="AJ40" s="530">
        <v>43109</v>
      </c>
      <c r="AK40" s="535"/>
      <c r="AL40" s="533" t="s">
        <v>920</v>
      </c>
      <c r="AM40" s="535"/>
      <c r="AN40" s="535"/>
      <c r="AO40" s="529">
        <f>Техкарта6[[#This Row],[Масса]]*Техкарта6[[#This Row],[Витрати кбм]]</f>
        <v>1550.49</v>
      </c>
      <c r="AP40" s="522">
        <v>556638</v>
      </c>
      <c r="AQ40" s="523">
        <v>43102</v>
      </c>
      <c r="AR40" s="535"/>
      <c r="AS40" s="535"/>
      <c r="AT40" s="535"/>
      <c r="AU40" s="535"/>
      <c r="AV40" s="535"/>
      <c r="AW40" s="535"/>
      <c r="AX40" s="535"/>
      <c r="AY40" s="522" t="s">
        <v>1717</v>
      </c>
      <c r="AZ40" s="535"/>
      <c r="BA40" s="535"/>
      <c r="BB40" s="522" t="s">
        <v>1727</v>
      </c>
      <c r="BC40" s="529">
        <f>MONTH(Техкарта6[[#This Row],[Дата ЛК]])</f>
        <v>1</v>
      </c>
      <c r="BD40" s="535"/>
      <c r="BE40" s="487"/>
      <c r="BF40" s="488"/>
      <c r="BG40" s="531"/>
      <c r="BH4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0" s="535"/>
      <c r="BJ40" s="535">
        <v>10</v>
      </c>
      <c r="BK40" s="538" t="str">
        <f>Техкарта6[[#This Row],[Кв-л]]&amp;" кв ("&amp;Substring(Техкарта6[[#This Row],[Виділ]],"_",1)&amp;" вид) "&amp;Substring(Техкарта6[[#This Row],[Виділ]],"_",2)&amp;" діл."</f>
        <v>26 кв (3 вид) 0 діл.</v>
      </c>
      <c r="BL40" s="538" t="str">
        <f>Техкарта6[[#This Row],[ПолнаяДіл]] &amp;" "&amp;Техкарта6[[#This Row],[ЛК]]</f>
        <v>26 кв (3 вид) 0 діл. 556638</v>
      </c>
      <c r="BM40" s="538">
        <f>MONTH(Техкарта6[[#This Row],[Дата начала робіт договору]])</f>
        <v>1</v>
      </c>
      <c r="BN40" s="529"/>
      <c r="BO40" s="529"/>
      <c r="BP40" s="529"/>
      <c r="BQ40" s="529" t="s">
        <v>1269</v>
      </c>
    </row>
    <row r="41" spans="1:69">
      <c r="A41" s="522" t="s">
        <v>1269</v>
      </c>
      <c r="B41" s="453" t="s">
        <v>177</v>
      </c>
      <c r="C41" s="537" t="s">
        <v>1693</v>
      </c>
      <c r="D41" s="453">
        <v>0</v>
      </c>
      <c r="E41" s="453" t="s">
        <v>1718</v>
      </c>
      <c r="F41" s="453">
        <v>3</v>
      </c>
      <c r="G41" s="453" t="s">
        <v>1750</v>
      </c>
      <c r="H41" s="453">
        <v>22</v>
      </c>
      <c r="I41" s="453" t="s">
        <v>1684</v>
      </c>
      <c r="J41" s="453">
        <v>1.8</v>
      </c>
      <c r="K41" s="453">
        <v>253</v>
      </c>
      <c r="L41" s="453"/>
      <c r="M41" s="453">
        <v>0</v>
      </c>
      <c r="N41" s="453">
        <v>0</v>
      </c>
      <c r="O41" s="453"/>
      <c r="P41" s="453"/>
      <c r="Q41" s="453"/>
      <c r="R41" s="453"/>
      <c r="S41" s="453">
        <v>0</v>
      </c>
      <c r="T41" s="453">
        <v>0</v>
      </c>
      <c r="U41" s="453"/>
      <c r="V41" s="453">
        <v>0</v>
      </c>
      <c r="W41" s="453">
        <v>22</v>
      </c>
      <c r="X41" s="538">
        <f>Техкарта6[[#This Row],[Масса]]/Техкарта6[[#This Row],[Кільк-сть дерев]]</f>
        <v>8.6956521739130432E-2</v>
      </c>
      <c r="Y41" s="538">
        <f>SUM(Техкарта6[[#This Row],[Знач1]:[Знач12]])</f>
        <v>22</v>
      </c>
      <c r="Z41" s="538">
        <f>(Техкарта6[[#This Row],[Нелеквид]]+Техкарта6[[#This Row],[Масса]])/Техкарта6[[#This Row],[Площа,га]]</f>
        <v>12.777777777777777</v>
      </c>
      <c r="AA41" s="535">
        <v>179.89500000000001</v>
      </c>
      <c r="AB41" s="535"/>
      <c r="AC41" s="535">
        <v>1</v>
      </c>
      <c r="AD41" s="535"/>
      <c r="AE41" s="538" t="e">
        <v>#REF!</v>
      </c>
      <c r="AF41" s="522">
        <v>1</v>
      </c>
      <c r="AG41" s="522">
        <v>43101</v>
      </c>
      <c r="AH41" s="535"/>
      <c r="AI41" s="535"/>
      <c r="AJ41" s="530">
        <v>43109</v>
      </c>
      <c r="AK41" s="535"/>
      <c r="AL41" s="533" t="s">
        <v>920</v>
      </c>
      <c r="AM41" s="535"/>
      <c r="AN41" s="535"/>
      <c r="AO41" s="529">
        <f>Техкарта6[[#This Row],[Масса]]*Техкарта6[[#This Row],[Витрати кбм]]</f>
        <v>3957.69</v>
      </c>
      <c r="AP41" s="522">
        <v>556637</v>
      </c>
      <c r="AQ41" s="523">
        <v>43102</v>
      </c>
      <c r="AR41" s="535"/>
      <c r="AS41" s="535"/>
      <c r="AT41" s="535"/>
      <c r="AU41" s="535"/>
      <c r="AV41" s="535"/>
      <c r="AW41" s="535"/>
      <c r="AX41" s="535"/>
      <c r="AY41" s="522" t="s">
        <v>1717</v>
      </c>
      <c r="AZ41" s="535"/>
      <c r="BA41" s="535"/>
      <c r="BB41" s="522" t="s">
        <v>1727</v>
      </c>
      <c r="BC41" s="529">
        <f>MONTH(Техкарта6[[#This Row],[Дата ЛК]])</f>
        <v>1</v>
      </c>
      <c r="BD41" s="535"/>
      <c r="BE41" s="487"/>
      <c r="BF41" s="488"/>
      <c r="BG41" s="531"/>
      <c r="BH4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1" s="535"/>
      <c r="BJ41" s="535">
        <v>9</v>
      </c>
      <c r="BK41" s="538" t="str">
        <f>Техкарта6[[#This Row],[Кв-л]]&amp;" кв ("&amp;Substring(Техкарта6[[#This Row],[Виділ]],"_",1)&amp;" вид) "&amp;Substring(Техкарта6[[#This Row],[Виділ]],"_",2)&amp;" діл."</f>
        <v>22 кв (10 вид) 0 діл.</v>
      </c>
      <c r="BL41" s="538" t="str">
        <f>Техкарта6[[#This Row],[ПолнаяДіл]] &amp;" "&amp;Техкарта6[[#This Row],[ЛК]]</f>
        <v>22 кв (10 вид) 0 діл. 556637</v>
      </c>
      <c r="BM41" s="538">
        <f>MONTH(Техкарта6[[#This Row],[Дата начала робіт договору]])</f>
        <v>1</v>
      </c>
      <c r="BN41" s="529"/>
      <c r="BO41" s="529"/>
      <c r="BP41" s="529"/>
      <c r="BQ41" s="529" t="s">
        <v>1269</v>
      </c>
    </row>
    <row r="42" spans="1:69">
      <c r="A42" s="522" t="s">
        <v>1269</v>
      </c>
      <c r="B42" s="453" t="s">
        <v>177</v>
      </c>
      <c r="C42" s="537" t="s">
        <v>1682</v>
      </c>
      <c r="D42" s="453">
        <v>0</v>
      </c>
      <c r="E42" s="453" t="s">
        <v>1718</v>
      </c>
      <c r="F42" s="453">
        <v>3</v>
      </c>
      <c r="G42" s="453" t="s">
        <v>1750</v>
      </c>
      <c r="H42" s="453">
        <v>32</v>
      </c>
      <c r="I42" s="453" t="s">
        <v>1688</v>
      </c>
      <c r="J42" s="453">
        <v>4.0999999999999996</v>
      </c>
      <c r="K42" s="453">
        <v>118</v>
      </c>
      <c r="L42" s="453"/>
      <c r="M42" s="453">
        <v>0</v>
      </c>
      <c r="N42" s="453">
        <v>11</v>
      </c>
      <c r="O42" s="453"/>
      <c r="P42" s="453"/>
      <c r="Q42" s="453"/>
      <c r="R42" s="453">
        <v>2</v>
      </c>
      <c r="S42" s="453">
        <v>0</v>
      </c>
      <c r="T42" s="453">
        <v>37</v>
      </c>
      <c r="U42" s="453"/>
      <c r="V42" s="453">
        <v>0</v>
      </c>
      <c r="W42" s="453">
        <v>4</v>
      </c>
      <c r="X42" s="538">
        <f>Техкарта6[[#This Row],[Масса]]/Техкарта6[[#This Row],[Кільк-сть дерев]]</f>
        <v>0.4576271186440678</v>
      </c>
      <c r="Y42" s="538">
        <f>SUM(Техкарта6[[#This Row],[Знач1]:[Знач12]])</f>
        <v>54</v>
      </c>
      <c r="Z42" s="538">
        <f>(Техкарта6[[#This Row],[Нелеквид]]+Техкарта6[[#This Row],[Масса]])/Техкарта6[[#This Row],[Площа,га]]</f>
        <v>14.146341463414636</v>
      </c>
      <c r="AA42" s="535">
        <v>129.62200000000001</v>
      </c>
      <c r="AB42" s="535"/>
      <c r="AC42" s="535">
        <v>4</v>
      </c>
      <c r="AD42" s="535"/>
      <c r="AE42" s="538" t="e">
        <v>#REF!</v>
      </c>
      <c r="AF42" s="522">
        <v>1</v>
      </c>
      <c r="AG42" s="522">
        <v>43101</v>
      </c>
      <c r="AH42" s="535"/>
      <c r="AI42" s="535"/>
      <c r="AJ42" s="530">
        <v>43109</v>
      </c>
      <c r="AK42" s="535"/>
      <c r="AL42" s="533" t="s">
        <v>1681</v>
      </c>
      <c r="AM42" s="535"/>
      <c r="AN42" s="535"/>
      <c r="AO42" s="529">
        <f>Техкарта6[[#This Row],[Масса]]*Техкарта6[[#This Row],[Витрати кбм]]</f>
        <v>6999.5880000000006</v>
      </c>
      <c r="AP42" s="522">
        <v>556643</v>
      </c>
      <c r="AQ42" s="523">
        <v>43122</v>
      </c>
      <c r="AR42" s="535"/>
      <c r="AS42" s="535"/>
      <c r="AT42" s="535"/>
      <c r="AU42" s="535"/>
      <c r="AV42" s="535"/>
      <c r="AW42" s="535"/>
      <c r="AX42" s="535"/>
      <c r="AY42" s="522" t="s">
        <v>1717</v>
      </c>
      <c r="AZ42" s="535"/>
      <c r="BA42" s="535"/>
      <c r="BB42" s="522" t="s">
        <v>1727</v>
      </c>
      <c r="BC42" s="529">
        <f>MONTH(Техкарта6[[#This Row],[Дата ЛК]])</f>
        <v>1</v>
      </c>
      <c r="BD42" s="535"/>
      <c r="BE42" s="487"/>
      <c r="BF42" s="488"/>
      <c r="BG42" s="531"/>
      <c r="BH4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2" s="535"/>
      <c r="BJ42" s="535">
        <v>11</v>
      </c>
      <c r="BK42" s="538" t="str">
        <f>Техкарта6[[#This Row],[Кв-л]]&amp;" кв ("&amp;Substring(Техкарта6[[#This Row],[Виділ]],"_",1)&amp;" вид) "&amp;Substring(Техкарта6[[#This Row],[Виділ]],"_",2)&amp;" діл."</f>
        <v>32 кв (9 вид) 0 діл.</v>
      </c>
      <c r="BL42" s="538" t="str">
        <f>Техкарта6[[#This Row],[ПолнаяДіл]] &amp;" "&amp;Техкарта6[[#This Row],[ЛК]]</f>
        <v>32 кв (9 вид) 0 діл. 556643</v>
      </c>
      <c r="BM42" s="538">
        <f>MONTH(Техкарта6[[#This Row],[Дата начала робіт договору]])</f>
        <v>1</v>
      </c>
      <c r="BN42" s="529"/>
      <c r="BO42" s="529"/>
      <c r="BP42" s="529"/>
      <c r="BQ42" s="529" t="s">
        <v>1269</v>
      </c>
    </row>
    <row r="43" spans="1:69">
      <c r="A43" s="522" t="s">
        <v>1269</v>
      </c>
      <c r="B43" s="453" t="s">
        <v>177</v>
      </c>
      <c r="C43" s="537" t="s">
        <v>1682</v>
      </c>
      <c r="D43" s="453">
        <v>0</v>
      </c>
      <c r="E43" s="453" t="s">
        <v>1718</v>
      </c>
      <c r="F43" s="453">
        <v>3</v>
      </c>
      <c r="G43" s="453" t="s">
        <v>1750</v>
      </c>
      <c r="H43" s="453">
        <v>72</v>
      </c>
      <c r="I43" s="453" t="s">
        <v>1683</v>
      </c>
      <c r="J43" s="453">
        <v>4.8</v>
      </c>
      <c r="K43" s="453">
        <v>279</v>
      </c>
      <c r="L43" s="453"/>
      <c r="M43" s="453">
        <v>8</v>
      </c>
      <c r="N43" s="453">
        <v>8</v>
      </c>
      <c r="O43" s="453"/>
      <c r="P43" s="453"/>
      <c r="Q43" s="453"/>
      <c r="R43" s="453">
        <v>13</v>
      </c>
      <c r="S43" s="453">
        <v>40</v>
      </c>
      <c r="T43" s="453">
        <v>31</v>
      </c>
      <c r="U43" s="453"/>
      <c r="V43" s="453">
        <v>2</v>
      </c>
      <c r="W43" s="453">
        <v>4</v>
      </c>
      <c r="X43" s="538">
        <f>Техкарта6[[#This Row],[Масса]]/Техкарта6[[#This Row],[Кільк-сть дерев]]</f>
        <v>0.37992831541218636</v>
      </c>
      <c r="Y43" s="538">
        <f>SUM(Техкарта6[[#This Row],[Знач1]:[Знач12]])</f>
        <v>106</v>
      </c>
      <c r="Z43" s="538">
        <f>(Техкарта6[[#This Row],[Нелеквид]]+Техкарта6[[#This Row],[Масса]])/Техкарта6[[#This Row],[Площа,га]]</f>
        <v>25.416666666666668</v>
      </c>
      <c r="AA43" s="535">
        <v>76.143000000000001</v>
      </c>
      <c r="AB43" s="535"/>
      <c r="AC43" s="535">
        <v>16</v>
      </c>
      <c r="AD43" s="535"/>
      <c r="AE43" s="538" t="e">
        <v>#REF!</v>
      </c>
      <c r="AF43" s="522">
        <v>1</v>
      </c>
      <c r="AG43" s="522">
        <v>43101</v>
      </c>
      <c r="AH43" s="535"/>
      <c r="AI43" s="535"/>
      <c r="AJ43" s="530">
        <v>43109</v>
      </c>
      <c r="AK43" s="535"/>
      <c r="AL43" s="533" t="s">
        <v>920</v>
      </c>
      <c r="AM43" s="535"/>
      <c r="AN43" s="535"/>
      <c r="AO43" s="529">
        <f>Техкарта6[[#This Row],[Масса]]*Техкарта6[[#This Row],[Витрати кбм]]</f>
        <v>8071.1580000000004</v>
      </c>
      <c r="AP43" s="522">
        <v>556643</v>
      </c>
      <c r="AQ43" s="523">
        <v>43122</v>
      </c>
      <c r="AR43" s="535"/>
      <c r="AS43" s="535"/>
      <c r="AT43" s="535"/>
      <c r="AU43" s="535"/>
      <c r="AV43" s="535"/>
      <c r="AW43" s="535"/>
      <c r="AX43" s="535"/>
      <c r="AY43" s="522" t="s">
        <v>1717</v>
      </c>
      <c r="AZ43" s="535"/>
      <c r="BA43" s="535"/>
      <c r="BB43" s="522" t="s">
        <v>1727</v>
      </c>
      <c r="BC43" s="529">
        <f>MONTH(Техкарта6[[#This Row],[Дата ЛК]])</f>
        <v>1</v>
      </c>
      <c r="BD43" s="535"/>
      <c r="BE43" s="487"/>
      <c r="BF43" s="488"/>
      <c r="BG43" s="531"/>
      <c r="BH4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3" s="535"/>
      <c r="BJ43" s="535">
        <v>12</v>
      </c>
      <c r="BK43" s="538" t="str">
        <f>Техкарта6[[#This Row],[Кв-л]]&amp;" кв ("&amp;Substring(Техкарта6[[#This Row],[Виділ]],"_",1)&amp;" вид) "&amp;Substring(Техкарта6[[#This Row],[Виділ]],"_",2)&amp;" діл."</f>
        <v>72 кв (1 вид) 0 діл.</v>
      </c>
      <c r="BL43" s="538" t="str">
        <f>Техкарта6[[#This Row],[ПолнаяДіл]] &amp;" "&amp;Техкарта6[[#This Row],[ЛК]]</f>
        <v>72 кв (1 вид) 0 діл. 556643</v>
      </c>
      <c r="BM43" s="538">
        <f>MONTH(Техкарта6[[#This Row],[Дата начала робіт договору]])</f>
        <v>1</v>
      </c>
      <c r="BN43" s="529"/>
      <c r="BO43" s="529"/>
      <c r="BP43" s="529"/>
      <c r="BQ43" s="529" t="s">
        <v>1269</v>
      </c>
    </row>
    <row r="44" spans="1:69">
      <c r="A44" s="522" t="s">
        <v>1269</v>
      </c>
      <c r="B44" s="453" t="s">
        <v>177</v>
      </c>
      <c r="C44" s="537" t="s">
        <v>1682</v>
      </c>
      <c r="D44" s="453">
        <v>0</v>
      </c>
      <c r="E44" s="453" t="s">
        <v>1718</v>
      </c>
      <c r="F44" s="453">
        <v>3</v>
      </c>
      <c r="G44" s="453" t="s">
        <v>1750</v>
      </c>
      <c r="H44" s="453">
        <v>33</v>
      </c>
      <c r="I44" s="453" t="s">
        <v>1660</v>
      </c>
      <c r="J44" s="453">
        <v>1.2</v>
      </c>
      <c r="K44" s="453">
        <v>67</v>
      </c>
      <c r="L44" s="453"/>
      <c r="M44" s="453">
        <v>0</v>
      </c>
      <c r="N44" s="453">
        <v>1</v>
      </c>
      <c r="O44" s="453"/>
      <c r="P44" s="453"/>
      <c r="Q44" s="453"/>
      <c r="R44" s="453">
        <v>0</v>
      </c>
      <c r="S44" s="453">
        <v>0</v>
      </c>
      <c r="T44" s="453">
        <v>17</v>
      </c>
      <c r="U44" s="453"/>
      <c r="V44" s="453">
        <v>0</v>
      </c>
      <c r="W44" s="453">
        <v>1</v>
      </c>
      <c r="X44" s="538">
        <f>Техкарта6[[#This Row],[Масса]]/Техкарта6[[#This Row],[Кільк-сть дерев]]</f>
        <v>0.28358208955223879</v>
      </c>
      <c r="Y44" s="538">
        <f>SUM(Техкарта6[[#This Row],[Знач1]:[Знач12]])</f>
        <v>19</v>
      </c>
      <c r="Z44" s="538">
        <f>(Техкарта6[[#This Row],[Нелеквид]]+Техкарта6[[#This Row],[Масса]])/Техкарта6[[#This Row],[Площа,га]]</f>
        <v>17.5</v>
      </c>
      <c r="AA44" s="535">
        <v>98.028999999999996</v>
      </c>
      <c r="AB44" s="535"/>
      <c r="AC44" s="535">
        <v>2</v>
      </c>
      <c r="AD44" s="535"/>
      <c r="AE44" s="538" t="e">
        <v>#REF!</v>
      </c>
      <c r="AF44" s="522">
        <v>1</v>
      </c>
      <c r="AG44" s="522">
        <v>43101</v>
      </c>
      <c r="AH44" s="535"/>
      <c r="AI44" s="535"/>
      <c r="AJ44" s="530">
        <v>43109</v>
      </c>
      <c r="AK44" s="535"/>
      <c r="AL44" s="533" t="s">
        <v>1015</v>
      </c>
      <c r="AM44" s="535"/>
      <c r="AN44" s="535"/>
      <c r="AO44" s="529">
        <f>Техкарта6[[#This Row],[Масса]]*Техкарта6[[#This Row],[Витрати кбм]]</f>
        <v>1862.5509999999999</v>
      </c>
      <c r="AP44" s="522">
        <v>556643</v>
      </c>
      <c r="AQ44" s="523">
        <v>43122</v>
      </c>
      <c r="AR44" s="535"/>
      <c r="AS44" s="535"/>
      <c r="AT44" s="535"/>
      <c r="AU44" s="535"/>
      <c r="AV44" s="535"/>
      <c r="AW44" s="535"/>
      <c r="AX44" s="535"/>
      <c r="AY44" s="522" t="s">
        <v>1717</v>
      </c>
      <c r="AZ44" s="535"/>
      <c r="BA44" s="535"/>
      <c r="BB44" s="522" t="s">
        <v>1727</v>
      </c>
      <c r="BC44" s="529">
        <f>MONTH(Техкарта6[[#This Row],[Дата ЛК]])</f>
        <v>1</v>
      </c>
      <c r="BD44" s="535"/>
      <c r="BE44" s="487"/>
      <c r="BF44" s="488"/>
      <c r="BG44" s="531"/>
      <c r="BH4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4" s="535"/>
      <c r="BJ44" s="535">
        <v>13</v>
      </c>
      <c r="BK44" s="538" t="str">
        <f>Техкарта6[[#This Row],[Кв-л]]&amp;" кв ("&amp;Substring(Техкарта6[[#This Row],[Виділ]],"_",1)&amp;" вид) "&amp;Substring(Техкарта6[[#This Row],[Виділ]],"_",2)&amp;" діл."</f>
        <v>33 кв (4 вид) 0 діл.</v>
      </c>
      <c r="BL44" s="538" t="str">
        <f>Техкарта6[[#This Row],[ПолнаяДіл]] &amp;" "&amp;Техкарта6[[#This Row],[ЛК]]</f>
        <v>33 кв (4 вид) 0 діл. 556643</v>
      </c>
      <c r="BM44" s="538">
        <f>MONTH(Техкарта6[[#This Row],[Дата начала робіт договору]])</f>
        <v>1</v>
      </c>
      <c r="BN44" s="529"/>
      <c r="BO44" s="529"/>
      <c r="BP44" s="529"/>
      <c r="BQ44" s="529" t="s">
        <v>1269</v>
      </c>
    </row>
    <row r="45" spans="1:69">
      <c r="A45" s="522" t="s">
        <v>1269</v>
      </c>
      <c r="B45" s="453" t="s">
        <v>19</v>
      </c>
      <c r="C45" s="537" t="s">
        <v>1682</v>
      </c>
      <c r="D45" s="453">
        <v>0</v>
      </c>
      <c r="E45" s="453" t="s">
        <v>1718</v>
      </c>
      <c r="F45" s="453">
        <v>3</v>
      </c>
      <c r="G45" s="453" t="s">
        <v>1750</v>
      </c>
      <c r="H45" s="453">
        <v>19</v>
      </c>
      <c r="I45" s="453" t="s">
        <v>1632</v>
      </c>
      <c r="J45" s="453">
        <v>0.6</v>
      </c>
      <c r="K45" s="453">
        <v>82</v>
      </c>
      <c r="L45" s="453"/>
      <c r="M45" s="453">
        <v>0</v>
      </c>
      <c r="N45" s="453">
        <v>1</v>
      </c>
      <c r="O45" s="453"/>
      <c r="P45" s="453"/>
      <c r="Q45" s="453"/>
      <c r="R45" s="453">
        <v>0</v>
      </c>
      <c r="S45" s="453">
        <v>0</v>
      </c>
      <c r="T45" s="453">
        <v>19</v>
      </c>
      <c r="U45" s="453"/>
      <c r="V45" s="453">
        <v>0</v>
      </c>
      <c r="W45" s="453">
        <v>0</v>
      </c>
      <c r="X45" s="538">
        <f>Техкарта6[[#This Row],[Масса]]/Техкарта6[[#This Row],[Кільк-сть дерев]]</f>
        <v>0.24390243902439024</v>
      </c>
      <c r="Y45" s="538">
        <f>SUM(Техкарта6[[#This Row],[Знач1]:[Знач12]])</f>
        <v>20</v>
      </c>
      <c r="Z45" s="538">
        <f>(Техкарта6[[#This Row],[Нелеквид]]+Техкарта6[[#This Row],[Масса]])/Техкарта6[[#This Row],[Площа,га]]</f>
        <v>38.333333333333336</v>
      </c>
      <c r="AA45" s="535">
        <v>97.295000000000002</v>
      </c>
      <c r="AB45" s="535"/>
      <c r="AC45" s="535">
        <v>3</v>
      </c>
      <c r="AD45" s="535"/>
      <c r="AE45" s="538" t="e">
        <v>#REF!</v>
      </c>
      <c r="AF45" s="522">
        <v>1</v>
      </c>
      <c r="AG45" s="522">
        <v>43101</v>
      </c>
      <c r="AH45" s="535"/>
      <c r="AI45" s="535"/>
      <c r="AJ45" s="530">
        <v>43109</v>
      </c>
      <c r="AK45" s="535"/>
      <c r="AL45" s="533" t="s">
        <v>999</v>
      </c>
      <c r="AM45" s="535"/>
      <c r="AN45" s="535"/>
      <c r="AO45" s="529">
        <f>Техкарта6[[#This Row],[Масса]]*Техкарта6[[#This Row],[Витрати кбм]]</f>
        <v>1945.9</v>
      </c>
      <c r="AP45" s="522">
        <v>556644</v>
      </c>
      <c r="AQ45" s="523">
        <v>43122</v>
      </c>
      <c r="AR45" s="535"/>
      <c r="AS45" s="535"/>
      <c r="AT45" s="535"/>
      <c r="AU45" s="535"/>
      <c r="AV45" s="535"/>
      <c r="AW45" s="535"/>
      <c r="AX45" s="535"/>
      <c r="AY45" s="522" t="s">
        <v>1720</v>
      </c>
      <c r="AZ45" s="535"/>
      <c r="BA45" s="535"/>
      <c r="BB45" s="522" t="s">
        <v>1726</v>
      </c>
      <c r="BC45" s="529">
        <f>MONTH(Техкарта6[[#This Row],[Дата ЛК]])</f>
        <v>1</v>
      </c>
      <c r="BD45" s="535"/>
      <c r="BE45" s="487"/>
      <c r="BF45" s="488"/>
      <c r="BG45" s="531"/>
      <c r="BH4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5" s="535"/>
      <c r="BJ45" s="535">
        <v>11</v>
      </c>
      <c r="BK45" s="538" t="str">
        <f>Техкарта6[[#This Row],[Кв-л]]&amp;" кв ("&amp;Substring(Техкарта6[[#This Row],[Виділ]],"_",1)&amp;" вид) "&amp;Substring(Техкарта6[[#This Row],[Виділ]],"_",2)&amp;" діл."</f>
        <v>19 кв (2 вид) 0 діл.</v>
      </c>
      <c r="BL45" s="538" t="str">
        <f>Техкарта6[[#This Row],[ПолнаяДіл]] &amp;" "&amp;Техкарта6[[#This Row],[ЛК]]</f>
        <v>19 кв (2 вид) 0 діл. 556644</v>
      </c>
      <c r="BM45" s="538">
        <f>MONTH(Техкарта6[[#This Row],[Дата начала робіт договору]])</f>
        <v>1</v>
      </c>
      <c r="BN45" s="529"/>
      <c r="BO45" s="529"/>
      <c r="BP45" s="529"/>
      <c r="BQ45" s="529" t="s">
        <v>1269</v>
      </c>
    </row>
    <row r="46" spans="1:69">
      <c r="A46" s="522" t="s">
        <v>1269</v>
      </c>
      <c r="B46" s="453" t="s">
        <v>19</v>
      </c>
      <c r="C46" s="537" t="s">
        <v>1682</v>
      </c>
      <c r="D46" s="453">
        <v>0</v>
      </c>
      <c r="E46" s="453" t="s">
        <v>1718</v>
      </c>
      <c r="F46" s="453">
        <v>3</v>
      </c>
      <c r="G46" s="453" t="s">
        <v>1750</v>
      </c>
      <c r="H46" s="453">
        <v>19</v>
      </c>
      <c r="I46" s="453" t="s">
        <v>1687</v>
      </c>
      <c r="J46" s="453">
        <v>4.0999999999999996</v>
      </c>
      <c r="K46" s="453">
        <v>464</v>
      </c>
      <c r="L46" s="453"/>
      <c r="M46" s="453">
        <v>0</v>
      </c>
      <c r="N46" s="453">
        <v>0</v>
      </c>
      <c r="O46" s="453"/>
      <c r="P46" s="453"/>
      <c r="Q46" s="453"/>
      <c r="R46" s="453">
        <v>0</v>
      </c>
      <c r="S46" s="453">
        <v>0</v>
      </c>
      <c r="T46" s="453">
        <v>0</v>
      </c>
      <c r="U46" s="453"/>
      <c r="V46" s="453">
        <v>0</v>
      </c>
      <c r="W46" s="453">
        <v>65</v>
      </c>
      <c r="X46" s="538">
        <f>Техкарта6[[#This Row],[Масса]]/Техкарта6[[#This Row],[Кільк-сть дерев]]</f>
        <v>0.14008620689655171</v>
      </c>
      <c r="Y46" s="538">
        <f>SUM(Техкарта6[[#This Row],[Знач1]:[Знач12]])</f>
        <v>65</v>
      </c>
      <c r="Z46" s="538">
        <f>(Техкарта6[[#This Row],[Нелеквид]]+Техкарта6[[#This Row],[Масса]])/Техкарта6[[#This Row],[Площа,га]]</f>
        <v>19.756097560975611</v>
      </c>
      <c r="AA46" s="535">
        <v>130.20400000000001</v>
      </c>
      <c r="AB46" s="535"/>
      <c r="AC46" s="535">
        <v>16</v>
      </c>
      <c r="AD46" s="535"/>
      <c r="AE46" s="538" t="e">
        <v>#REF!</v>
      </c>
      <c r="AF46" s="522">
        <v>1</v>
      </c>
      <c r="AG46" s="522">
        <v>43101</v>
      </c>
      <c r="AH46" s="535"/>
      <c r="AI46" s="535"/>
      <c r="AJ46" s="530">
        <v>43109</v>
      </c>
      <c r="AK46" s="535"/>
      <c r="AL46" s="533" t="s">
        <v>999</v>
      </c>
      <c r="AM46" s="535"/>
      <c r="AN46" s="535"/>
      <c r="AO46" s="529">
        <f>Техкарта6[[#This Row],[Масса]]*Техкарта6[[#This Row],[Витрати кбм]]</f>
        <v>8463.26</v>
      </c>
      <c r="AP46" s="522">
        <v>556644</v>
      </c>
      <c r="AQ46" s="523">
        <v>43122</v>
      </c>
      <c r="AR46" s="535"/>
      <c r="AS46" s="535"/>
      <c r="AT46" s="535"/>
      <c r="AU46" s="535"/>
      <c r="AV46" s="535"/>
      <c r="AW46" s="535"/>
      <c r="AX46" s="535"/>
      <c r="AY46" s="522" t="s">
        <v>1720</v>
      </c>
      <c r="AZ46" s="535"/>
      <c r="BA46" s="535"/>
      <c r="BB46" s="522" t="s">
        <v>1726</v>
      </c>
      <c r="BC46" s="529">
        <f>MONTH(Техкарта6[[#This Row],[Дата ЛК]])</f>
        <v>1</v>
      </c>
      <c r="BD46" s="535"/>
      <c r="BE46" s="487"/>
      <c r="BF46" s="488"/>
      <c r="BG46" s="531"/>
      <c r="BH4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6" s="535"/>
      <c r="BJ46" s="535">
        <v>12</v>
      </c>
      <c r="BK46" s="538" t="str">
        <f>Техкарта6[[#This Row],[Кв-л]]&amp;" кв ("&amp;Substring(Техкарта6[[#This Row],[Виділ]],"_",1)&amp;" вид) "&amp;Substring(Техкарта6[[#This Row],[Виділ]],"_",2)&amp;" діл."</f>
        <v>19 кв (5 вид) 0 діл.</v>
      </c>
      <c r="BL46" s="538" t="str">
        <f>Техкарта6[[#This Row],[ПолнаяДіл]] &amp;" "&amp;Техкарта6[[#This Row],[ЛК]]</f>
        <v>19 кв (5 вид) 0 діл. 556644</v>
      </c>
      <c r="BM46" s="538">
        <f>MONTH(Техкарта6[[#This Row],[Дата начала робіт договору]])</f>
        <v>1</v>
      </c>
      <c r="BN46" s="529"/>
      <c r="BO46" s="529"/>
      <c r="BP46" s="529"/>
      <c r="BQ46" s="529" t="s">
        <v>1269</v>
      </c>
    </row>
    <row r="47" spans="1:69">
      <c r="A47" s="522" t="s">
        <v>1269</v>
      </c>
      <c r="B47" s="453" t="s">
        <v>19</v>
      </c>
      <c r="C47" s="537" t="s">
        <v>1682</v>
      </c>
      <c r="D47" s="453">
        <v>0</v>
      </c>
      <c r="E47" s="453" t="s">
        <v>1718</v>
      </c>
      <c r="F47" s="453">
        <v>3</v>
      </c>
      <c r="G47" s="453" t="s">
        <v>1750</v>
      </c>
      <c r="H47" s="453">
        <v>56</v>
      </c>
      <c r="I47" s="453" t="s">
        <v>1664</v>
      </c>
      <c r="J47" s="453">
        <v>0.9</v>
      </c>
      <c r="K47" s="453">
        <v>133</v>
      </c>
      <c r="L47" s="453"/>
      <c r="M47" s="453">
        <v>0</v>
      </c>
      <c r="N47" s="453">
        <v>3</v>
      </c>
      <c r="O47" s="453"/>
      <c r="P47" s="453"/>
      <c r="Q47" s="453"/>
      <c r="R47" s="453">
        <v>0</v>
      </c>
      <c r="S47" s="453">
        <v>0</v>
      </c>
      <c r="T47" s="453">
        <v>52</v>
      </c>
      <c r="U47" s="453"/>
      <c r="V47" s="453">
        <v>0</v>
      </c>
      <c r="W47" s="453">
        <v>0</v>
      </c>
      <c r="X47" s="538">
        <f>Техкарта6[[#This Row],[Масса]]/Техкарта6[[#This Row],[Кільк-сть дерев]]</f>
        <v>0.41353383458646614</v>
      </c>
      <c r="Y47" s="538">
        <f>SUM(Техкарта6[[#This Row],[Знач1]:[Знач12]])</f>
        <v>55</v>
      </c>
      <c r="Z47" s="538">
        <f>(Техкарта6[[#This Row],[Нелеквид]]+Техкарта6[[#This Row],[Масса]])/Техкарта6[[#This Row],[Площа,га]]</f>
        <v>66.666666666666671</v>
      </c>
      <c r="AA47" s="535">
        <v>82.936000000000007</v>
      </c>
      <c r="AB47" s="535"/>
      <c r="AC47" s="535">
        <v>5</v>
      </c>
      <c r="AD47" s="535"/>
      <c r="AE47" s="538" t="e">
        <v>#REF!</v>
      </c>
      <c r="AF47" s="522">
        <v>1</v>
      </c>
      <c r="AG47" s="522">
        <v>43101</v>
      </c>
      <c r="AH47" s="535"/>
      <c r="AI47" s="535"/>
      <c r="AJ47" s="530">
        <v>43109</v>
      </c>
      <c r="AK47" s="535"/>
      <c r="AL47" s="533" t="s">
        <v>1037</v>
      </c>
      <c r="AM47" s="535"/>
      <c r="AN47" s="535"/>
      <c r="AO47" s="529">
        <f>Техкарта6[[#This Row],[Масса]]*Техкарта6[[#This Row],[Витрати кбм]]</f>
        <v>4561.4800000000005</v>
      </c>
      <c r="AP47" s="522">
        <v>556644</v>
      </c>
      <c r="AQ47" s="523">
        <v>43122</v>
      </c>
      <c r="AR47" s="535"/>
      <c r="AS47" s="535"/>
      <c r="AT47" s="535"/>
      <c r="AU47" s="535"/>
      <c r="AV47" s="535"/>
      <c r="AW47" s="535"/>
      <c r="AX47" s="535"/>
      <c r="AY47" s="522" t="s">
        <v>1720</v>
      </c>
      <c r="AZ47" s="535"/>
      <c r="BA47" s="535"/>
      <c r="BB47" s="522" t="s">
        <v>1726</v>
      </c>
      <c r="BC47" s="529">
        <f>MONTH(Техкарта6[[#This Row],[Дата ЛК]])</f>
        <v>1</v>
      </c>
      <c r="BD47" s="535"/>
      <c r="BE47" s="487"/>
      <c r="BF47" s="488"/>
      <c r="BG47" s="531"/>
      <c r="BH4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7" s="535"/>
      <c r="BJ47" s="535">
        <v>13</v>
      </c>
      <c r="BK47" s="538" t="str">
        <f>Техкарта6[[#This Row],[Кв-л]]&amp;" кв ("&amp;Substring(Техкарта6[[#This Row],[Виділ]],"_",1)&amp;" вид) "&amp;Substring(Техкарта6[[#This Row],[Виділ]],"_",2)&amp;" діл."</f>
        <v>56 кв (3 вид) 0 діл.</v>
      </c>
      <c r="BL47" s="538" t="str">
        <f>Техкарта6[[#This Row],[ПолнаяДіл]] &amp;" "&amp;Техкарта6[[#This Row],[ЛК]]</f>
        <v>56 кв (3 вид) 0 діл. 556644</v>
      </c>
      <c r="BM47" s="538">
        <f>MONTH(Техкарта6[[#This Row],[Дата начала робіт договору]])</f>
        <v>1</v>
      </c>
      <c r="BN47" s="529"/>
      <c r="BO47" s="529"/>
      <c r="BP47" s="529"/>
      <c r="BQ47" s="529" t="s">
        <v>1269</v>
      </c>
    </row>
    <row r="48" spans="1:69">
      <c r="A48" s="522" t="s">
        <v>1269</v>
      </c>
      <c r="B48" s="453" t="s">
        <v>19</v>
      </c>
      <c r="C48" s="537" t="s">
        <v>1682</v>
      </c>
      <c r="D48" s="453">
        <v>0</v>
      </c>
      <c r="E48" s="453" t="s">
        <v>1718</v>
      </c>
      <c r="F48" s="453">
        <v>3</v>
      </c>
      <c r="G48" s="453" t="s">
        <v>1750</v>
      </c>
      <c r="H48" s="453">
        <v>60</v>
      </c>
      <c r="I48" s="453" t="s">
        <v>1683</v>
      </c>
      <c r="J48" s="453">
        <v>2.2999999999999998</v>
      </c>
      <c r="K48" s="453">
        <v>285</v>
      </c>
      <c r="L48" s="453"/>
      <c r="M48" s="453">
        <v>0</v>
      </c>
      <c r="N48" s="453">
        <v>3</v>
      </c>
      <c r="O48" s="453"/>
      <c r="P48" s="453"/>
      <c r="Q48" s="453"/>
      <c r="R48" s="453">
        <v>0</v>
      </c>
      <c r="S48" s="453">
        <v>0</v>
      </c>
      <c r="T48" s="453">
        <v>0</v>
      </c>
      <c r="U48" s="453"/>
      <c r="V48" s="453">
        <v>0</v>
      </c>
      <c r="W48" s="453">
        <v>50</v>
      </c>
      <c r="X48" s="538">
        <f>Техкарта6[[#This Row],[Масса]]/Техкарта6[[#This Row],[Кільк-сть дерев]]</f>
        <v>0.18596491228070175</v>
      </c>
      <c r="Y48" s="538">
        <f>SUM(Техкарта6[[#This Row],[Знач1]:[Знач12]])</f>
        <v>53</v>
      </c>
      <c r="Z48" s="538">
        <f>(Техкарта6[[#This Row],[Нелеквид]]+Техкарта6[[#This Row],[Масса]])/Техкарта6[[#This Row],[Площа,га]]</f>
        <v>28.260869565217394</v>
      </c>
      <c r="AA48" s="535">
        <v>106.111</v>
      </c>
      <c r="AB48" s="535"/>
      <c r="AC48" s="535">
        <v>12</v>
      </c>
      <c r="AD48" s="535"/>
      <c r="AE48" s="538" t="e">
        <v>#REF!</v>
      </c>
      <c r="AF48" s="522">
        <v>1</v>
      </c>
      <c r="AG48" s="522">
        <v>43101</v>
      </c>
      <c r="AH48" s="535"/>
      <c r="AI48" s="535"/>
      <c r="AJ48" s="530">
        <v>43109</v>
      </c>
      <c r="AK48" s="535"/>
      <c r="AL48" s="533" t="s">
        <v>1037</v>
      </c>
      <c r="AM48" s="535"/>
      <c r="AN48" s="535"/>
      <c r="AO48" s="529">
        <f>Техкарта6[[#This Row],[Масса]]*Техкарта6[[#This Row],[Витрати кбм]]</f>
        <v>5623.8829999999998</v>
      </c>
      <c r="AP48" s="522">
        <v>556644</v>
      </c>
      <c r="AQ48" s="523">
        <v>43122</v>
      </c>
      <c r="AR48" s="535"/>
      <c r="AS48" s="535"/>
      <c r="AT48" s="535"/>
      <c r="AU48" s="535"/>
      <c r="AV48" s="535"/>
      <c r="AW48" s="535"/>
      <c r="AX48" s="535"/>
      <c r="AY48" s="522" t="s">
        <v>1720</v>
      </c>
      <c r="AZ48" s="535"/>
      <c r="BA48" s="535"/>
      <c r="BB48" s="522" t="s">
        <v>1726</v>
      </c>
      <c r="BC48" s="529">
        <f>MONTH(Техкарта6[[#This Row],[Дата ЛК]])</f>
        <v>1</v>
      </c>
      <c r="BD48" s="535"/>
      <c r="BE48" s="487"/>
      <c r="BF48" s="488"/>
      <c r="BG48" s="531"/>
      <c r="BH4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8" s="535"/>
      <c r="BJ48" s="535">
        <v>14</v>
      </c>
      <c r="BK48" s="538" t="str">
        <f>Техкарта6[[#This Row],[Кв-л]]&amp;" кв ("&amp;Substring(Техкарта6[[#This Row],[Виділ]],"_",1)&amp;" вид) "&amp;Substring(Техкарта6[[#This Row],[Виділ]],"_",2)&amp;" діл."</f>
        <v>60 кв (1 вид) 0 діл.</v>
      </c>
      <c r="BL48" s="538" t="str">
        <f>Техкарта6[[#This Row],[ПолнаяДіл]] &amp;" "&amp;Техкарта6[[#This Row],[ЛК]]</f>
        <v>60 кв (1 вид) 0 діл. 556644</v>
      </c>
      <c r="BM48" s="538">
        <f>MONTH(Техкарта6[[#This Row],[Дата начала робіт договору]])</f>
        <v>1</v>
      </c>
      <c r="BN48" s="529"/>
      <c r="BO48" s="529"/>
      <c r="BP48" s="529"/>
      <c r="BQ48" s="529" t="s">
        <v>1269</v>
      </c>
    </row>
    <row r="49" spans="1:69">
      <c r="A49" s="522" t="s">
        <v>1269</v>
      </c>
      <c r="B49" s="453" t="s">
        <v>19</v>
      </c>
      <c r="C49" s="537" t="s">
        <v>1682</v>
      </c>
      <c r="D49" s="453">
        <v>0</v>
      </c>
      <c r="E49" s="453" t="s">
        <v>1718</v>
      </c>
      <c r="F49" s="453">
        <v>3</v>
      </c>
      <c r="G49" s="453" t="s">
        <v>1750</v>
      </c>
      <c r="H49" s="453">
        <v>73</v>
      </c>
      <c r="I49" s="453" t="s">
        <v>1664</v>
      </c>
      <c r="J49" s="453">
        <v>9.3000000000000007</v>
      </c>
      <c r="K49" s="453">
        <v>471</v>
      </c>
      <c r="L49" s="453"/>
      <c r="M49" s="453">
        <v>0</v>
      </c>
      <c r="N49" s="453">
        <v>9</v>
      </c>
      <c r="O49" s="453"/>
      <c r="P49" s="453"/>
      <c r="Q49" s="453"/>
      <c r="R49" s="453">
        <v>0</v>
      </c>
      <c r="S49" s="453">
        <v>0</v>
      </c>
      <c r="T49" s="453">
        <v>0</v>
      </c>
      <c r="U49" s="453"/>
      <c r="V49" s="453">
        <v>0</v>
      </c>
      <c r="W49" s="453">
        <v>139</v>
      </c>
      <c r="X49" s="538">
        <f>Техкарта6[[#This Row],[Масса]]/Техкарта6[[#This Row],[Кільк-сть дерев]]</f>
        <v>0.31422505307855625</v>
      </c>
      <c r="Y49" s="538">
        <f>SUM(Техкарта6[[#This Row],[Знач1]:[Знач12]])</f>
        <v>148</v>
      </c>
      <c r="Z49" s="538">
        <f>(Техкарта6[[#This Row],[Нелеквид]]+Техкарта6[[#This Row],[Масса]])/Техкарта6[[#This Row],[Площа,га]]</f>
        <v>18.279569892473116</v>
      </c>
      <c r="AA49" s="535">
        <v>91.179000000000002</v>
      </c>
      <c r="AB49" s="535"/>
      <c r="AC49" s="535">
        <v>22</v>
      </c>
      <c r="AD49" s="535"/>
      <c r="AE49" s="538" t="e">
        <v>#REF!</v>
      </c>
      <c r="AF49" s="522">
        <v>1</v>
      </c>
      <c r="AG49" s="522">
        <v>43101</v>
      </c>
      <c r="AH49" s="535"/>
      <c r="AI49" s="535"/>
      <c r="AJ49" s="530">
        <v>43109</v>
      </c>
      <c r="AK49" s="535"/>
      <c r="AL49" s="533" t="s">
        <v>1001</v>
      </c>
      <c r="AM49" s="535"/>
      <c r="AN49" s="535"/>
      <c r="AO49" s="529">
        <f>Техкарта6[[#This Row],[Масса]]*Техкарта6[[#This Row],[Витрати кбм]]</f>
        <v>13494.492</v>
      </c>
      <c r="AP49" s="522">
        <v>556644</v>
      </c>
      <c r="AQ49" s="523">
        <v>43122</v>
      </c>
      <c r="AR49" s="535"/>
      <c r="AS49" s="535"/>
      <c r="AT49" s="535"/>
      <c r="AU49" s="535"/>
      <c r="AV49" s="535"/>
      <c r="AW49" s="535"/>
      <c r="AX49" s="535"/>
      <c r="AY49" s="522" t="s">
        <v>1720</v>
      </c>
      <c r="AZ49" s="535"/>
      <c r="BA49" s="535"/>
      <c r="BB49" s="522" t="s">
        <v>1726</v>
      </c>
      <c r="BC49" s="529">
        <f>MONTH(Техкарта6[[#This Row],[Дата ЛК]])</f>
        <v>1</v>
      </c>
      <c r="BD49" s="535"/>
      <c r="BE49" s="487"/>
      <c r="BF49" s="488"/>
      <c r="BG49" s="531"/>
      <c r="BH4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9" s="535"/>
      <c r="BJ49" s="535">
        <v>15</v>
      </c>
      <c r="BK49" s="538" t="str">
        <f>Техкарта6[[#This Row],[Кв-л]]&amp;" кв ("&amp;Substring(Техкарта6[[#This Row],[Виділ]],"_",1)&amp;" вид) "&amp;Substring(Техкарта6[[#This Row],[Виділ]],"_",2)&amp;" діл."</f>
        <v>73 кв (3 вид) 0 діл.</v>
      </c>
      <c r="BL49" s="538" t="str">
        <f>Техкарта6[[#This Row],[ПолнаяДіл]] &amp;" "&amp;Техкарта6[[#This Row],[ЛК]]</f>
        <v>73 кв (3 вид) 0 діл. 556644</v>
      </c>
      <c r="BM49" s="538">
        <f>MONTH(Техкарта6[[#This Row],[Дата начала робіт договору]])</f>
        <v>1</v>
      </c>
      <c r="BN49" s="529"/>
      <c r="BO49" s="529"/>
      <c r="BP49" s="529"/>
      <c r="BQ49" s="529" t="s">
        <v>1269</v>
      </c>
    </row>
    <row r="50" spans="1:69">
      <c r="A50" s="522" t="s">
        <v>1269</v>
      </c>
      <c r="B50" s="453" t="s">
        <v>19</v>
      </c>
      <c r="C50" s="537" t="s">
        <v>1682</v>
      </c>
      <c r="D50" s="453">
        <v>0</v>
      </c>
      <c r="E50" s="453" t="s">
        <v>1718</v>
      </c>
      <c r="F50" s="453">
        <v>3</v>
      </c>
      <c r="G50" s="453" t="s">
        <v>1750</v>
      </c>
      <c r="H50" s="453">
        <v>77</v>
      </c>
      <c r="I50" s="453" t="s">
        <v>1659</v>
      </c>
      <c r="J50" s="453">
        <v>6.4</v>
      </c>
      <c r="K50" s="453">
        <v>471</v>
      </c>
      <c r="L50" s="453"/>
      <c r="M50" s="453">
        <v>0</v>
      </c>
      <c r="N50" s="453">
        <v>4</v>
      </c>
      <c r="O50" s="453"/>
      <c r="P50" s="453"/>
      <c r="Q50" s="453"/>
      <c r="R50" s="453">
        <v>0</v>
      </c>
      <c r="S50" s="453">
        <v>0</v>
      </c>
      <c r="T50" s="453">
        <v>0</v>
      </c>
      <c r="U50" s="453"/>
      <c r="V50" s="453">
        <v>0</v>
      </c>
      <c r="W50" s="453">
        <v>92</v>
      </c>
      <c r="X50" s="538">
        <f>Техкарта6[[#This Row],[Масса]]/Техкарта6[[#This Row],[Кільк-сть дерев]]</f>
        <v>0.20382165605095542</v>
      </c>
      <c r="Y50" s="538">
        <f>SUM(Техкарта6[[#This Row],[Знач1]:[Знач12]])</f>
        <v>96</v>
      </c>
      <c r="Z50" s="538">
        <f>(Техкарта6[[#This Row],[Нелеквид]]+Техкарта6[[#This Row],[Масса]])/Техкарта6[[#This Row],[Площа,га]]</f>
        <v>18.4375</v>
      </c>
      <c r="AA50" s="535">
        <v>107.80800000000001</v>
      </c>
      <c r="AB50" s="535"/>
      <c r="AC50" s="535">
        <v>22</v>
      </c>
      <c r="AD50" s="535"/>
      <c r="AE50" s="538" t="e">
        <v>#REF!</v>
      </c>
      <c r="AF50" s="522">
        <v>1</v>
      </c>
      <c r="AG50" s="522">
        <v>43101</v>
      </c>
      <c r="AH50" s="535"/>
      <c r="AI50" s="535"/>
      <c r="AJ50" s="530">
        <v>43109</v>
      </c>
      <c r="AK50" s="535"/>
      <c r="AL50" s="533" t="s">
        <v>1001</v>
      </c>
      <c r="AM50" s="535"/>
      <c r="AN50" s="535"/>
      <c r="AO50" s="529">
        <f>Техкарта6[[#This Row],[Масса]]*Техкарта6[[#This Row],[Витрати кбм]]</f>
        <v>10349.568000000001</v>
      </c>
      <c r="AP50" s="522">
        <v>556644</v>
      </c>
      <c r="AQ50" s="523">
        <v>43122</v>
      </c>
      <c r="AR50" s="535"/>
      <c r="AS50" s="535"/>
      <c r="AT50" s="535"/>
      <c r="AU50" s="535"/>
      <c r="AV50" s="535"/>
      <c r="AW50" s="535"/>
      <c r="AX50" s="535"/>
      <c r="AY50" s="522" t="s">
        <v>1720</v>
      </c>
      <c r="AZ50" s="535"/>
      <c r="BA50" s="535"/>
      <c r="BB50" s="522" t="s">
        <v>1726</v>
      </c>
      <c r="BC50" s="529">
        <f>MONTH(Техкарта6[[#This Row],[Дата ЛК]])</f>
        <v>1</v>
      </c>
      <c r="BD50" s="535"/>
      <c r="BE50" s="487"/>
      <c r="BF50" s="488"/>
      <c r="BG50" s="531"/>
      <c r="BH5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0" s="535"/>
      <c r="BJ50" s="535">
        <v>16</v>
      </c>
      <c r="BK50" s="538" t="str">
        <f>Техкарта6[[#This Row],[Кв-л]]&amp;" кв ("&amp;Substring(Техкарта6[[#This Row],[Виділ]],"_",1)&amp;" вид) "&amp;Substring(Техкарта6[[#This Row],[Виділ]],"_",2)&amp;" діл."</f>
        <v>77 кв (8 вид) 0 діл.</v>
      </c>
      <c r="BL50" s="538" t="str">
        <f>Техкарта6[[#This Row],[ПолнаяДіл]] &amp;" "&amp;Техкарта6[[#This Row],[ЛК]]</f>
        <v>77 кв (8 вид) 0 діл. 556644</v>
      </c>
      <c r="BM50" s="538">
        <f>MONTH(Техкарта6[[#This Row],[Дата начала робіт договору]])</f>
        <v>1</v>
      </c>
      <c r="BN50" s="529"/>
      <c r="BO50" s="529"/>
      <c r="BP50" s="529"/>
      <c r="BQ50" s="529" t="s">
        <v>1269</v>
      </c>
    </row>
    <row r="51" spans="1:69">
      <c r="A51" s="522" t="s">
        <v>1269</v>
      </c>
      <c r="B51" s="453" t="s">
        <v>19</v>
      </c>
      <c r="C51" s="537" t="s">
        <v>1682</v>
      </c>
      <c r="D51" s="453">
        <v>0</v>
      </c>
      <c r="E51" s="453" t="s">
        <v>1718</v>
      </c>
      <c r="F51" s="453">
        <v>3</v>
      </c>
      <c r="G51" s="453" t="s">
        <v>1750</v>
      </c>
      <c r="H51" s="453">
        <v>78</v>
      </c>
      <c r="I51" s="453" t="s">
        <v>1685</v>
      </c>
      <c r="J51" s="453">
        <v>1.5</v>
      </c>
      <c r="K51" s="453">
        <v>81</v>
      </c>
      <c r="L51" s="453"/>
      <c r="M51" s="453">
        <v>0</v>
      </c>
      <c r="N51" s="453">
        <v>0</v>
      </c>
      <c r="O51" s="453"/>
      <c r="P51" s="453"/>
      <c r="Q51" s="453"/>
      <c r="R51" s="453">
        <v>0</v>
      </c>
      <c r="S51" s="453">
        <v>0</v>
      </c>
      <c r="T51" s="453">
        <v>0</v>
      </c>
      <c r="U51" s="453"/>
      <c r="V51" s="453">
        <v>0</v>
      </c>
      <c r="W51" s="453">
        <v>9</v>
      </c>
      <c r="X51" s="538">
        <f>Техкарта6[[#This Row],[Масса]]/Техкарта6[[#This Row],[Кільк-сть дерев]]</f>
        <v>0.1111111111111111</v>
      </c>
      <c r="Y51" s="538">
        <f>SUM(Техкарта6[[#This Row],[Знач1]:[Знач12]])</f>
        <v>9</v>
      </c>
      <c r="Z51" s="538">
        <f>(Техкарта6[[#This Row],[Нелеквид]]+Техкарта6[[#This Row],[Масса]])/Техкарта6[[#This Row],[Площа,га]]</f>
        <v>6.666666666666667</v>
      </c>
      <c r="AA51" s="535">
        <v>163.12299999999999</v>
      </c>
      <c r="AB51" s="535"/>
      <c r="AC51" s="535">
        <v>1</v>
      </c>
      <c r="AD51" s="535"/>
      <c r="AE51" s="538" t="e">
        <v>#REF!</v>
      </c>
      <c r="AF51" s="522">
        <v>1</v>
      </c>
      <c r="AG51" s="522">
        <v>43101</v>
      </c>
      <c r="AH51" s="535"/>
      <c r="AI51" s="535"/>
      <c r="AJ51" s="530">
        <v>43109</v>
      </c>
      <c r="AK51" s="535"/>
      <c r="AL51" s="533" t="s">
        <v>1001</v>
      </c>
      <c r="AM51" s="535"/>
      <c r="AN51" s="535"/>
      <c r="AO51" s="529">
        <f>Техкарта6[[#This Row],[Масса]]*Техкарта6[[#This Row],[Витрати кбм]]</f>
        <v>1468.107</v>
      </c>
      <c r="AP51" s="522">
        <v>556644</v>
      </c>
      <c r="AQ51" s="523">
        <v>43122</v>
      </c>
      <c r="AR51" s="535"/>
      <c r="AS51" s="535"/>
      <c r="AT51" s="535"/>
      <c r="AU51" s="535"/>
      <c r="AV51" s="535"/>
      <c r="AW51" s="535"/>
      <c r="AX51" s="535"/>
      <c r="AY51" s="522" t="s">
        <v>1720</v>
      </c>
      <c r="AZ51" s="535"/>
      <c r="BA51" s="535"/>
      <c r="BB51" s="522" t="s">
        <v>1726</v>
      </c>
      <c r="BC51" s="529">
        <f>MONTH(Техкарта6[[#This Row],[Дата ЛК]])</f>
        <v>1</v>
      </c>
      <c r="BD51" s="535"/>
      <c r="BE51" s="487"/>
      <c r="BF51" s="488"/>
      <c r="BG51" s="531"/>
      <c r="BH5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1" s="535"/>
      <c r="BJ51" s="535">
        <v>17</v>
      </c>
      <c r="BK51" s="538" t="str">
        <f>Техкарта6[[#This Row],[Кв-л]]&amp;" кв ("&amp;Substring(Техкарта6[[#This Row],[Виділ]],"_",1)&amp;" вид) "&amp;Substring(Техкарта6[[#This Row],[Виділ]],"_",2)&amp;" діл."</f>
        <v>78 кв (7 вид) 0 діл.</v>
      </c>
      <c r="BL51" s="538" t="str">
        <f>Техкарта6[[#This Row],[ПолнаяДіл]] &amp;" "&amp;Техкарта6[[#This Row],[ЛК]]</f>
        <v>78 кв (7 вид) 0 діл. 556644</v>
      </c>
      <c r="BM51" s="538">
        <f>MONTH(Техкарта6[[#This Row],[Дата начала робіт договору]])</f>
        <v>1</v>
      </c>
      <c r="BN51" s="529"/>
      <c r="BO51" s="529"/>
      <c r="BP51" s="529"/>
      <c r="BQ51" s="529" t="s">
        <v>1269</v>
      </c>
    </row>
    <row r="52" spans="1:69">
      <c r="A52" s="522" t="s">
        <v>1269</v>
      </c>
      <c r="B52" s="453" t="s">
        <v>19</v>
      </c>
      <c r="C52" s="537" t="s">
        <v>1682</v>
      </c>
      <c r="D52" s="453">
        <v>0</v>
      </c>
      <c r="E52" s="453" t="s">
        <v>1718</v>
      </c>
      <c r="F52" s="453">
        <v>3</v>
      </c>
      <c r="G52" s="453" t="s">
        <v>1750</v>
      </c>
      <c r="H52" s="453">
        <v>86</v>
      </c>
      <c r="I52" s="453" t="s">
        <v>1694</v>
      </c>
      <c r="J52" s="453">
        <v>6</v>
      </c>
      <c r="K52" s="453">
        <v>284</v>
      </c>
      <c r="L52" s="453"/>
      <c r="M52" s="453">
        <v>0</v>
      </c>
      <c r="N52" s="453">
        <v>3</v>
      </c>
      <c r="O52" s="453"/>
      <c r="P52" s="453"/>
      <c r="Q52" s="453"/>
      <c r="R52" s="453">
        <v>0</v>
      </c>
      <c r="S52" s="453">
        <v>0</v>
      </c>
      <c r="T52" s="453">
        <v>0</v>
      </c>
      <c r="U52" s="453"/>
      <c r="V52" s="453">
        <v>0</v>
      </c>
      <c r="W52" s="453">
        <v>99</v>
      </c>
      <c r="X52" s="538">
        <f>Техкарта6[[#This Row],[Масса]]/Техкарта6[[#This Row],[Кільк-сть дерев]]</f>
        <v>0.35915492957746481</v>
      </c>
      <c r="Y52" s="538">
        <f>SUM(Техкарта6[[#This Row],[Знач1]:[Знач12]])</f>
        <v>102</v>
      </c>
      <c r="Z52" s="538">
        <f>(Техкарта6[[#This Row],[Нелеквид]]+Техкарта6[[#This Row],[Масса]])/Техкарта6[[#This Row],[Площа,га]]</f>
        <v>18.833333333333332</v>
      </c>
      <c r="AA52" s="535">
        <v>88.076999999999998</v>
      </c>
      <c r="AB52" s="535"/>
      <c r="AC52" s="535">
        <v>11</v>
      </c>
      <c r="AD52" s="535"/>
      <c r="AE52" s="538" t="e">
        <v>#REF!</v>
      </c>
      <c r="AF52" s="522">
        <v>1</v>
      </c>
      <c r="AG52" s="522">
        <v>43101</v>
      </c>
      <c r="AH52" s="535"/>
      <c r="AI52" s="535"/>
      <c r="AJ52" s="530">
        <v>43109</v>
      </c>
      <c r="AK52" s="535"/>
      <c r="AL52" s="533" t="s">
        <v>912</v>
      </c>
      <c r="AM52" s="535"/>
      <c r="AN52" s="535"/>
      <c r="AO52" s="529">
        <f>Техкарта6[[#This Row],[Масса]]*Техкарта6[[#This Row],[Витрати кбм]]</f>
        <v>8983.8539999999994</v>
      </c>
      <c r="AP52" s="522">
        <v>556644</v>
      </c>
      <c r="AQ52" s="523">
        <v>43122</v>
      </c>
      <c r="AR52" s="535"/>
      <c r="AS52" s="535"/>
      <c r="AT52" s="535"/>
      <c r="AU52" s="535"/>
      <c r="AV52" s="535"/>
      <c r="AW52" s="535"/>
      <c r="AX52" s="535"/>
      <c r="AY52" s="522" t="s">
        <v>1720</v>
      </c>
      <c r="AZ52" s="535"/>
      <c r="BA52" s="535"/>
      <c r="BB52" s="522" t="s">
        <v>1726</v>
      </c>
      <c r="BC52" s="529">
        <f>MONTH(Техкарта6[[#This Row],[Дата ЛК]])</f>
        <v>1</v>
      </c>
      <c r="BD52" s="535"/>
      <c r="BE52" s="487"/>
      <c r="BF52" s="488"/>
      <c r="BG52" s="531"/>
      <c r="BH5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2" s="535"/>
      <c r="BJ52" s="535">
        <v>18</v>
      </c>
      <c r="BK52" s="538" t="str">
        <f>Техкарта6[[#This Row],[Кв-л]]&amp;" кв ("&amp;Substring(Техкарта6[[#This Row],[Виділ]],"_",1)&amp;" вид) "&amp;Substring(Техкарта6[[#This Row],[Виділ]],"_",2)&amp;" діл."</f>
        <v>86 кв (13 вид) 0 діл.</v>
      </c>
      <c r="BL52" s="538" t="str">
        <f>Техкарта6[[#This Row],[ПолнаяДіл]] &amp;" "&amp;Техкарта6[[#This Row],[ЛК]]</f>
        <v>86 кв (13 вид) 0 діл. 556644</v>
      </c>
      <c r="BM52" s="538">
        <f>MONTH(Техкарта6[[#This Row],[Дата начала робіт договору]])</f>
        <v>1</v>
      </c>
      <c r="BN52" s="529"/>
      <c r="BO52" s="529"/>
      <c r="BP52" s="529"/>
      <c r="BQ52" s="529" t="s">
        <v>1269</v>
      </c>
    </row>
    <row r="53" spans="1:69">
      <c r="A53" s="522" t="s">
        <v>1269</v>
      </c>
      <c r="B53" s="453" t="s">
        <v>19</v>
      </c>
      <c r="C53" s="537" t="s">
        <v>1682</v>
      </c>
      <c r="D53" s="453">
        <v>0</v>
      </c>
      <c r="E53" s="453" t="s">
        <v>1718</v>
      </c>
      <c r="F53" s="453">
        <v>3</v>
      </c>
      <c r="G53" s="453" t="s">
        <v>1750</v>
      </c>
      <c r="H53" s="453">
        <v>109</v>
      </c>
      <c r="I53" s="453" t="s">
        <v>1683</v>
      </c>
      <c r="J53" s="453">
        <v>4</v>
      </c>
      <c r="K53" s="453">
        <v>219</v>
      </c>
      <c r="L53" s="453"/>
      <c r="M53" s="453">
        <v>0</v>
      </c>
      <c r="N53" s="453">
        <v>5</v>
      </c>
      <c r="O53" s="453"/>
      <c r="P53" s="453"/>
      <c r="Q53" s="453"/>
      <c r="R53" s="453">
        <v>0</v>
      </c>
      <c r="S53" s="453">
        <v>0</v>
      </c>
      <c r="T53" s="453">
        <v>0</v>
      </c>
      <c r="U53" s="453"/>
      <c r="V53" s="453">
        <v>0</v>
      </c>
      <c r="W53" s="453">
        <v>66</v>
      </c>
      <c r="X53" s="538">
        <f>Техкарта6[[#This Row],[Масса]]/Техкарта6[[#This Row],[Кільк-сть дерев]]</f>
        <v>0.32420091324200911</v>
      </c>
      <c r="Y53" s="538">
        <f>SUM(Техкарта6[[#This Row],[Знач1]:[Знач12]])</f>
        <v>71</v>
      </c>
      <c r="Z53" s="538">
        <f>(Техкарта6[[#This Row],[Нелеквид]]+Техкарта6[[#This Row],[Масса]])/Техкарта6[[#This Row],[Площа,га]]</f>
        <v>22.25</v>
      </c>
      <c r="AA53" s="535">
        <v>90.855000000000004</v>
      </c>
      <c r="AB53" s="535"/>
      <c r="AC53" s="535">
        <v>18</v>
      </c>
      <c r="AD53" s="535"/>
      <c r="AE53" s="538" t="e">
        <v>#REF!</v>
      </c>
      <c r="AF53" s="522">
        <v>1</v>
      </c>
      <c r="AG53" s="522">
        <v>43101</v>
      </c>
      <c r="AH53" s="535"/>
      <c r="AI53" s="535"/>
      <c r="AJ53" s="530">
        <v>43109</v>
      </c>
      <c r="AK53" s="535"/>
      <c r="AL53" s="533" t="s">
        <v>917</v>
      </c>
      <c r="AM53" s="535"/>
      <c r="AN53" s="535"/>
      <c r="AO53" s="529">
        <f>Техкарта6[[#This Row],[Масса]]*Техкарта6[[#This Row],[Витрати кбм]]</f>
        <v>6450.7049999999999</v>
      </c>
      <c r="AP53" s="522">
        <v>556644</v>
      </c>
      <c r="AQ53" s="523">
        <v>43122</v>
      </c>
      <c r="AR53" s="535"/>
      <c r="AS53" s="535"/>
      <c r="AT53" s="535"/>
      <c r="AU53" s="535"/>
      <c r="AV53" s="535"/>
      <c r="AW53" s="535"/>
      <c r="AX53" s="535"/>
      <c r="AY53" s="522" t="s">
        <v>1720</v>
      </c>
      <c r="AZ53" s="535"/>
      <c r="BA53" s="535"/>
      <c r="BB53" s="522" t="s">
        <v>1726</v>
      </c>
      <c r="BC53" s="529">
        <f>MONTH(Техкарта6[[#This Row],[Дата ЛК]])</f>
        <v>1</v>
      </c>
      <c r="BD53" s="535"/>
      <c r="BE53" s="487"/>
      <c r="BF53" s="488"/>
      <c r="BG53" s="531"/>
      <c r="BH5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3" s="535"/>
      <c r="BJ53" s="535">
        <v>19</v>
      </c>
      <c r="BK53" s="538" t="str">
        <f>Техкарта6[[#This Row],[Кв-л]]&amp;" кв ("&amp;Substring(Техкарта6[[#This Row],[Виділ]],"_",1)&amp;" вид) "&amp;Substring(Техкарта6[[#This Row],[Виділ]],"_",2)&amp;" діл."</f>
        <v>109 кв (1 вид) 0 діл.</v>
      </c>
      <c r="BL53" s="538" t="str">
        <f>Техкарта6[[#This Row],[ПолнаяДіл]] &amp;" "&amp;Техкарта6[[#This Row],[ЛК]]</f>
        <v>109 кв (1 вид) 0 діл. 556644</v>
      </c>
      <c r="BM53" s="538">
        <f>MONTH(Техкарта6[[#This Row],[Дата начала робіт договору]])</f>
        <v>1</v>
      </c>
      <c r="BN53" s="529"/>
      <c r="BO53" s="529"/>
      <c r="BP53" s="529"/>
      <c r="BQ53" s="529" t="s">
        <v>1269</v>
      </c>
    </row>
    <row r="54" spans="1:69">
      <c r="A54" s="522" t="s">
        <v>1269</v>
      </c>
      <c r="B54" s="453" t="s">
        <v>296</v>
      </c>
      <c r="C54" s="537" t="s">
        <v>1682</v>
      </c>
      <c r="D54" s="453">
        <v>0</v>
      </c>
      <c r="E54" s="453" t="s">
        <v>1718</v>
      </c>
      <c r="F54" s="453">
        <v>3</v>
      </c>
      <c r="G54" s="453" t="s">
        <v>1750</v>
      </c>
      <c r="H54" s="453">
        <v>83</v>
      </c>
      <c r="I54" s="453" t="s">
        <v>1683</v>
      </c>
      <c r="J54" s="453">
        <v>10.3</v>
      </c>
      <c r="K54" s="453">
        <v>203</v>
      </c>
      <c r="L54" s="453"/>
      <c r="M54" s="453">
        <v>0</v>
      </c>
      <c r="N54" s="453">
        <v>35</v>
      </c>
      <c r="O54" s="453"/>
      <c r="P54" s="453"/>
      <c r="Q54" s="453"/>
      <c r="R54" s="453">
        <v>0</v>
      </c>
      <c r="S54" s="453">
        <v>0</v>
      </c>
      <c r="T54" s="453">
        <v>0</v>
      </c>
      <c r="U54" s="453">
        <v>53</v>
      </c>
      <c r="V54" s="453">
        <v>3</v>
      </c>
      <c r="W54" s="453">
        <v>119</v>
      </c>
      <c r="X54" s="538">
        <f>Техкарта6[[#This Row],[Масса]]/Техкарта6[[#This Row],[Кільк-сть дерев]]</f>
        <v>1.0344827586206897</v>
      </c>
      <c r="Y54" s="538">
        <f>SUM(Техкарта6[[#This Row],[Знач1]:[Знач12]])</f>
        <v>210</v>
      </c>
      <c r="Z54" s="538">
        <f>(Техкарта6[[#This Row],[Нелеквид]]+Техкарта6[[#This Row],[Масса]])/Техкарта6[[#This Row],[Площа,га]]</f>
        <v>21.941747572815533</v>
      </c>
      <c r="AA54" s="535">
        <v>66.444999999999993</v>
      </c>
      <c r="AB54" s="535"/>
      <c r="AC54" s="535">
        <v>16</v>
      </c>
      <c r="AD54" s="535"/>
      <c r="AE54" s="538" t="e">
        <v>#REF!</v>
      </c>
      <c r="AF54" s="522">
        <v>1</v>
      </c>
      <c r="AG54" s="522">
        <v>43101</v>
      </c>
      <c r="AH54" s="535"/>
      <c r="AI54" s="535"/>
      <c r="AJ54" s="530">
        <v>43109</v>
      </c>
      <c r="AK54" s="535"/>
      <c r="AL54" s="533" t="s">
        <v>918</v>
      </c>
      <c r="AM54" s="535"/>
      <c r="AN54" s="535"/>
      <c r="AO54" s="529">
        <f>Техкарта6[[#This Row],[Масса]]*Техкарта6[[#This Row],[Витрати кбм]]</f>
        <v>13953.449999999999</v>
      </c>
      <c r="AP54" s="522">
        <v>556611</v>
      </c>
      <c r="AQ54" s="523">
        <v>43062</v>
      </c>
      <c r="AR54" s="535"/>
      <c r="AS54" s="535"/>
      <c r="AT54" s="535"/>
      <c r="AU54" s="535"/>
      <c r="AV54" s="535"/>
      <c r="AW54" s="535"/>
      <c r="AX54" s="535"/>
      <c r="AY54" s="522" t="s">
        <v>1722</v>
      </c>
      <c r="AZ54" s="535"/>
      <c r="BA54" s="535"/>
      <c r="BB54" s="522" t="s">
        <v>1728</v>
      </c>
      <c r="BC54" s="529">
        <f>MONTH(Техкарта6[[#This Row],[Дата ЛК]])</f>
        <v>11</v>
      </c>
      <c r="BD54" s="535"/>
      <c r="BE54" s="487"/>
      <c r="BF54" s="488"/>
      <c r="BG54" s="531"/>
      <c r="BH5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4" s="535"/>
      <c r="BJ54" s="535">
        <v>11</v>
      </c>
      <c r="BK54" s="538" t="str">
        <f>Техкарта6[[#This Row],[Кв-л]]&amp;" кв ("&amp;Substring(Техкарта6[[#This Row],[Виділ]],"_",1)&amp;" вид) "&amp;Substring(Техкарта6[[#This Row],[Виділ]],"_",2)&amp;" діл."</f>
        <v>83 кв (1 вид) 0 діл.</v>
      </c>
      <c r="BL54" s="538" t="str">
        <f>Техкарта6[[#This Row],[ПолнаяДіл]] &amp;" "&amp;Техкарта6[[#This Row],[ЛК]]</f>
        <v>83 кв (1 вид) 0 діл. 556611</v>
      </c>
      <c r="BM54" s="538">
        <f>MONTH(Техкарта6[[#This Row],[Дата начала робіт договору]])</f>
        <v>1</v>
      </c>
      <c r="BN54" s="529"/>
      <c r="BO54" s="529"/>
      <c r="BP54" s="529"/>
      <c r="BQ54" s="529" t="s">
        <v>1269</v>
      </c>
    </row>
    <row r="55" spans="1:69">
      <c r="A55" s="522" t="s">
        <v>1269</v>
      </c>
      <c r="B55" s="453" t="s">
        <v>296</v>
      </c>
      <c r="C55" s="537" t="s">
        <v>1682</v>
      </c>
      <c r="D55" s="453">
        <v>0</v>
      </c>
      <c r="E55" s="453" t="s">
        <v>1718</v>
      </c>
      <c r="F55" s="453">
        <v>3</v>
      </c>
      <c r="G55" s="453" t="s">
        <v>1750</v>
      </c>
      <c r="H55" s="453">
        <v>120</v>
      </c>
      <c r="I55" s="453" t="s">
        <v>1683</v>
      </c>
      <c r="J55" s="453">
        <v>16</v>
      </c>
      <c r="K55" s="453">
        <v>607</v>
      </c>
      <c r="L55" s="453"/>
      <c r="M55" s="453">
        <v>0</v>
      </c>
      <c r="N55" s="453">
        <v>24</v>
      </c>
      <c r="O55" s="453"/>
      <c r="P55" s="453"/>
      <c r="Q55" s="453"/>
      <c r="R55" s="453">
        <v>0</v>
      </c>
      <c r="S55" s="453">
        <v>0</v>
      </c>
      <c r="T55" s="453">
        <v>0</v>
      </c>
      <c r="U55" s="453">
        <v>60</v>
      </c>
      <c r="V55" s="453">
        <v>16</v>
      </c>
      <c r="W55" s="453">
        <v>340</v>
      </c>
      <c r="X55" s="538">
        <f>Техкарта6[[#This Row],[Масса]]/Техкарта6[[#This Row],[Кільк-сть дерев]]</f>
        <v>0.72487644151565078</v>
      </c>
      <c r="Y55" s="538">
        <f>SUM(Техкарта6[[#This Row],[Знач1]:[Знач12]])</f>
        <v>440</v>
      </c>
      <c r="Z55" s="538">
        <f>(Техкарта6[[#This Row],[Нелеквид]]+Техкарта6[[#This Row],[Масса]])/Техкарта6[[#This Row],[Площа,га]]</f>
        <v>29.4375</v>
      </c>
      <c r="AA55" s="535">
        <v>72.340999999999994</v>
      </c>
      <c r="AB55" s="535"/>
      <c r="AC55" s="535">
        <v>31</v>
      </c>
      <c r="AD55" s="535"/>
      <c r="AE55" s="538" t="e">
        <v>#REF!</v>
      </c>
      <c r="AF55" s="522">
        <v>1</v>
      </c>
      <c r="AG55" s="522">
        <v>43101</v>
      </c>
      <c r="AH55" s="535"/>
      <c r="AI55" s="535"/>
      <c r="AJ55" s="530">
        <v>43109</v>
      </c>
      <c r="AK55" s="535"/>
      <c r="AL55" s="533" t="s">
        <v>918</v>
      </c>
      <c r="AM55" s="535"/>
      <c r="AN55" s="535"/>
      <c r="AO55" s="529">
        <f>Техкарта6[[#This Row],[Масса]]*Техкарта6[[#This Row],[Витрати кбм]]</f>
        <v>31830.039999999997</v>
      </c>
      <c r="AP55" s="522">
        <v>556611</v>
      </c>
      <c r="AQ55" s="523">
        <v>43062</v>
      </c>
      <c r="AR55" s="535"/>
      <c r="AS55" s="535"/>
      <c r="AT55" s="535"/>
      <c r="AU55" s="535"/>
      <c r="AV55" s="535"/>
      <c r="AW55" s="535"/>
      <c r="AX55" s="535"/>
      <c r="AY55" s="522" t="s">
        <v>1722</v>
      </c>
      <c r="AZ55" s="535"/>
      <c r="BA55" s="535"/>
      <c r="BB55" s="522" t="s">
        <v>1728</v>
      </c>
      <c r="BC55" s="529">
        <f>MONTH(Техкарта6[[#This Row],[Дата ЛК]])</f>
        <v>11</v>
      </c>
      <c r="BD55" s="535"/>
      <c r="BE55" s="487"/>
      <c r="BF55" s="488"/>
      <c r="BG55" s="531"/>
      <c r="BH5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5" s="535"/>
      <c r="BJ55" s="535">
        <v>12</v>
      </c>
      <c r="BK55" s="538" t="str">
        <f>Техкарта6[[#This Row],[Кв-л]]&amp;" кв ("&amp;Substring(Техкарта6[[#This Row],[Виділ]],"_",1)&amp;" вид) "&amp;Substring(Техкарта6[[#This Row],[Виділ]],"_",2)&amp;" діл."</f>
        <v>120 кв (1 вид) 0 діл.</v>
      </c>
      <c r="BL55" s="538" t="str">
        <f>Техкарта6[[#This Row],[ПолнаяДіл]] &amp;" "&amp;Техкарта6[[#This Row],[ЛК]]</f>
        <v>120 кв (1 вид) 0 діл. 556611</v>
      </c>
      <c r="BM55" s="538">
        <f>MONTH(Техкарта6[[#This Row],[Дата начала робіт договору]])</f>
        <v>1</v>
      </c>
      <c r="BN55" s="529"/>
      <c r="BO55" s="529"/>
      <c r="BP55" s="529"/>
      <c r="BQ55" s="529" t="s">
        <v>1269</v>
      </c>
    </row>
    <row r="56" spans="1:69">
      <c r="A56" s="522" t="s">
        <v>31</v>
      </c>
      <c r="B56" s="453" t="s">
        <v>216</v>
      </c>
      <c r="C56" s="537" t="s">
        <v>31</v>
      </c>
      <c r="D56" s="453">
        <v>0</v>
      </c>
      <c r="E56" s="453" t="s">
        <v>1716</v>
      </c>
      <c r="F56" s="453">
        <v>2</v>
      </c>
      <c r="G56" s="453" t="s">
        <v>1661</v>
      </c>
      <c r="H56" s="453">
        <v>86</v>
      </c>
      <c r="I56" s="453" t="s">
        <v>1423</v>
      </c>
      <c r="J56" s="453">
        <v>1</v>
      </c>
      <c r="K56" s="453">
        <v>484</v>
      </c>
      <c r="L56" s="453">
        <v>0</v>
      </c>
      <c r="M56" s="453">
        <v>115</v>
      </c>
      <c r="N56" s="453">
        <v>39</v>
      </c>
      <c r="O56" s="453">
        <v>0</v>
      </c>
      <c r="P56" s="453">
        <v>0</v>
      </c>
      <c r="Q56" s="453">
        <v>0</v>
      </c>
      <c r="R56" s="453">
        <v>12</v>
      </c>
      <c r="S56" s="453">
        <v>21</v>
      </c>
      <c r="T56" s="453">
        <v>32</v>
      </c>
      <c r="U56" s="453">
        <v>4</v>
      </c>
      <c r="V56" s="453">
        <v>14</v>
      </c>
      <c r="W56" s="453">
        <v>24</v>
      </c>
      <c r="X56" s="538">
        <f>Техкарта6[[#This Row],[Масса]]/Техкарта6[[#This Row],[Кільк-сть дерев]]</f>
        <v>0.53925619834710747</v>
      </c>
      <c r="Y56" s="538">
        <f>SUM(Техкарта6[[#This Row],[Знач1]:[Знач12]])</f>
        <v>261</v>
      </c>
      <c r="Z56" s="538">
        <f>(Техкарта6[[#This Row],[Нелеквид]]+Техкарта6[[#This Row],[Масса]])/Техкарта6[[#This Row],[Площа,га]]</f>
        <v>286</v>
      </c>
      <c r="AA56" s="535">
        <v>71.944999999999993</v>
      </c>
      <c r="AB56" s="535">
        <v>38.070999999999998</v>
      </c>
      <c r="AC56" s="535">
        <v>25</v>
      </c>
      <c r="AD56" s="535"/>
      <c r="AE56" s="538" t="e">
        <v>#REF!</v>
      </c>
      <c r="AF56" s="522">
        <v>1</v>
      </c>
      <c r="AG56" s="522">
        <v>43101</v>
      </c>
      <c r="AH56" s="535"/>
      <c r="AI56" s="535"/>
      <c r="AJ56" s="530">
        <v>43109</v>
      </c>
      <c r="AK56" s="535"/>
      <c r="AL56" s="533" t="s">
        <v>929</v>
      </c>
      <c r="AM56" s="535"/>
      <c r="AN56" s="535"/>
      <c r="AO56" s="529">
        <f>Техкарта6[[#This Row],[Масса]]*Техкарта6[[#This Row],[Витрати кбм]]</f>
        <v>18777.644999999997</v>
      </c>
      <c r="AP56" s="522">
        <v>556618</v>
      </c>
      <c r="AQ56" s="523" t="s">
        <v>1719</v>
      </c>
      <c r="AR56" s="535"/>
      <c r="AS56" s="535"/>
      <c r="AT56" s="535"/>
      <c r="AU56" s="535"/>
      <c r="AV56" s="535"/>
      <c r="AW56" s="535"/>
      <c r="AX56" s="535"/>
      <c r="AY56" s="522" t="s">
        <v>1720</v>
      </c>
      <c r="AZ56" s="535"/>
      <c r="BA56" s="535"/>
      <c r="BB56" s="522" t="s">
        <v>1726</v>
      </c>
      <c r="BC56" s="529">
        <f>MONTH(Техкарта6[[#This Row],[Дата ЛК]])</f>
        <v>12</v>
      </c>
      <c r="BD56" s="535"/>
      <c r="BE56" s="487">
        <v>5</v>
      </c>
      <c r="BF56" s="488">
        <v>40</v>
      </c>
      <c r="BG56" s="531" t="s">
        <v>1764</v>
      </c>
      <c r="BH5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6" s="535"/>
      <c r="BJ56" s="535">
        <v>3</v>
      </c>
      <c r="BK56" s="538" t="str">
        <f>Техкарта6[[#This Row],[Кв-л]]&amp;" кв ("&amp;Substring(Техкарта6[[#This Row],[Виділ]],"_",1)&amp;" вид) "&amp;Substring(Техкарта6[[#This Row],[Виділ]],"_",2)&amp;" діл."</f>
        <v>86 кв (4 вид) 1 діл.</v>
      </c>
      <c r="BL56" s="538" t="str">
        <f>Техкарта6[[#This Row],[ПолнаяДіл]] &amp;" "&amp;Техкарта6[[#This Row],[ЛК]]</f>
        <v>86 кв (4 вид) 1 діл. 556618</v>
      </c>
      <c r="BM56" s="538">
        <f>MONTH(Техкарта6[[#This Row],[Дата начала робіт договору]])</f>
        <v>1</v>
      </c>
      <c r="BN56" s="529" t="s">
        <v>1765</v>
      </c>
      <c r="BO56" s="529" t="s">
        <v>1765</v>
      </c>
      <c r="BP56" s="529" t="s">
        <v>1765</v>
      </c>
      <c r="BQ56" s="529" t="s">
        <v>31</v>
      </c>
    </row>
    <row r="57" spans="1:69">
      <c r="A57" s="522" t="s">
        <v>31</v>
      </c>
      <c r="B57" s="453" t="s">
        <v>19</v>
      </c>
      <c r="C57" s="537" t="s">
        <v>31</v>
      </c>
      <c r="D57" s="453">
        <v>0</v>
      </c>
      <c r="E57" s="453" t="s">
        <v>1716</v>
      </c>
      <c r="F57" s="453">
        <v>2</v>
      </c>
      <c r="G57" s="453" t="s">
        <v>1661</v>
      </c>
      <c r="H57" s="453">
        <v>20</v>
      </c>
      <c r="I57" s="453" t="s">
        <v>1664</v>
      </c>
      <c r="J57" s="453">
        <v>2.8</v>
      </c>
      <c r="K57" s="453">
        <v>1040</v>
      </c>
      <c r="L57" s="453">
        <v>0</v>
      </c>
      <c r="M57" s="453">
        <v>6</v>
      </c>
      <c r="N57" s="453">
        <v>169</v>
      </c>
      <c r="O57" s="453">
        <v>0</v>
      </c>
      <c r="P57" s="453">
        <v>0</v>
      </c>
      <c r="Q57" s="453">
        <v>28</v>
      </c>
      <c r="R57" s="453">
        <v>62</v>
      </c>
      <c r="S57" s="453">
        <v>50</v>
      </c>
      <c r="T57" s="453">
        <v>426</v>
      </c>
      <c r="U57" s="453">
        <v>5</v>
      </c>
      <c r="V57" s="453">
        <v>12</v>
      </c>
      <c r="W57" s="453">
        <v>25</v>
      </c>
      <c r="X57" s="538">
        <f>Техкарта6[[#This Row],[Масса]]/Техкарта6[[#This Row],[Кільк-сть дерев]]</f>
        <v>0.75288461538461537</v>
      </c>
      <c r="Y57" s="538">
        <f>SUM(Техкарта6[[#This Row],[Знач1]:[Знач12]])</f>
        <v>783</v>
      </c>
      <c r="Z57" s="538">
        <f>(Техкарта6[[#This Row],[Нелеквид]]+Техкарта6[[#This Row],[Масса]])/Техкарта6[[#This Row],[Площа,га]]</f>
        <v>300</v>
      </c>
      <c r="AA57" s="535">
        <v>59.284999999999997</v>
      </c>
      <c r="AB57" s="535">
        <v>35.494</v>
      </c>
      <c r="AC57" s="535">
        <v>57</v>
      </c>
      <c r="AD57" s="535"/>
      <c r="AE57" s="538" t="e">
        <v>#REF!</v>
      </c>
      <c r="AF57" s="522">
        <v>1</v>
      </c>
      <c r="AG57" s="522">
        <v>43101</v>
      </c>
      <c r="AH57" s="535"/>
      <c r="AI57" s="535"/>
      <c r="AJ57" s="530">
        <v>43122</v>
      </c>
      <c r="AK57" s="535"/>
      <c r="AL57" s="533" t="s">
        <v>927</v>
      </c>
      <c r="AM57" s="535"/>
      <c r="AN57" s="535"/>
      <c r="AO57" s="529">
        <f>Техкарта6[[#This Row],[Масса]]*Техкарта6[[#This Row],[Витрати кбм]]</f>
        <v>46420.154999999999</v>
      </c>
      <c r="AP57" s="522">
        <v>556618</v>
      </c>
      <c r="AQ57" s="523" t="s">
        <v>1719</v>
      </c>
      <c r="AR57" s="535"/>
      <c r="AS57" s="535"/>
      <c r="AT57" s="535"/>
      <c r="AU57" s="535"/>
      <c r="AV57" s="535"/>
      <c r="AW57" s="535"/>
      <c r="AX57" s="535"/>
      <c r="AY57" s="522" t="s">
        <v>1720</v>
      </c>
      <c r="AZ57" s="535"/>
      <c r="BA57" s="535"/>
      <c r="BB57" s="522" t="s">
        <v>1726</v>
      </c>
      <c r="BC57" s="529">
        <f>MONTH(Техкарта6[[#This Row],[Дата ЛК]])</f>
        <v>12</v>
      </c>
      <c r="BD57" s="535"/>
      <c r="BE57" s="487">
        <v>5</v>
      </c>
      <c r="BF57" s="488">
        <v>40</v>
      </c>
      <c r="BG57" s="531" t="s">
        <v>1764</v>
      </c>
      <c r="BH5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7" s="535"/>
      <c r="BJ57" s="535">
        <v>8</v>
      </c>
      <c r="BK57" s="538" t="str">
        <f>Техкарта6[[#This Row],[Кв-л]]&amp;" кв ("&amp;Substring(Техкарта6[[#This Row],[Виділ]],"_",1)&amp;" вид) "&amp;Substring(Техкарта6[[#This Row],[Виділ]],"_",2)&amp;" діл."</f>
        <v>20 кв (3 вид) 0 діл.</v>
      </c>
      <c r="BL57" s="538" t="str">
        <f>Техкарта6[[#This Row],[ПолнаяДіл]] &amp;" "&amp;Техкарта6[[#This Row],[ЛК]]</f>
        <v>20 кв (3 вид) 0 діл. 556618</v>
      </c>
      <c r="BM57" s="538">
        <f>MONTH(Техкарта6[[#This Row],[Дата начала робіт договору]])</f>
        <v>1</v>
      </c>
      <c r="BN57" s="529" t="s">
        <v>1765</v>
      </c>
      <c r="BO57" s="529" t="s">
        <v>1765</v>
      </c>
      <c r="BP57" s="529" t="s">
        <v>1765</v>
      </c>
      <c r="BQ57" s="529" t="s">
        <v>31</v>
      </c>
    </row>
    <row r="58" spans="1:69">
      <c r="A58" s="522" t="s">
        <v>31</v>
      </c>
      <c r="B58" s="453" t="s">
        <v>216</v>
      </c>
      <c r="C58" s="537" t="s">
        <v>31</v>
      </c>
      <c r="D58" s="453">
        <v>0</v>
      </c>
      <c r="E58" s="453" t="s">
        <v>1716</v>
      </c>
      <c r="F58" s="453">
        <v>2</v>
      </c>
      <c r="G58" s="453" t="s">
        <v>1661</v>
      </c>
      <c r="H58" s="453">
        <v>20</v>
      </c>
      <c r="I58" s="453" t="s">
        <v>1423</v>
      </c>
      <c r="J58" s="453">
        <v>1.6</v>
      </c>
      <c r="K58" s="453">
        <v>627</v>
      </c>
      <c r="L58" s="453">
        <v>0</v>
      </c>
      <c r="M58" s="453">
        <v>18</v>
      </c>
      <c r="N58" s="453">
        <v>174</v>
      </c>
      <c r="O58" s="453">
        <v>0</v>
      </c>
      <c r="P58" s="453">
        <v>0</v>
      </c>
      <c r="Q58" s="453">
        <v>14</v>
      </c>
      <c r="R58" s="453">
        <v>20</v>
      </c>
      <c r="S58" s="453">
        <v>25</v>
      </c>
      <c r="T58" s="453">
        <v>99</v>
      </c>
      <c r="U58" s="453">
        <v>6</v>
      </c>
      <c r="V58" s="453">
        <v>21</v>
      </c>
      <c r="W58" s="453">
        <v>68</v>
      </c>
      <c r="X58" s="538">
        <f>Техкарта6[[#This Row],[Масса]]/Техкарта6[[#This Row],[Кільк-сть дерев]]</f>
        <v>0.70972886762360443</v>
      </c>
      <c r="Y58" s="538">
        <f>SUM(Техкарта6[[#This Row],[Знач1]:[Знач12]])</f>
        <v>445</v>
      </c>
      <c r="Z58" s="538">
        <f>(Техкарта6[[#This Row],[Нелеквид]]+Техкарта6[[#This Row],[Масса]])/Техкарта6[[#This Row],[Площа,га]]</f>
        <v>278.125</v>
      </c>
      <c r="AA58" s="535">
        <v>75.989999999999995</v>
      </c>
      <c r="AB58" s="535">
        <v>35.905000000000001</v>
      </c>
      <c r="AC58" s="535">
        <v>0</v>
      </c>
      <c r="AD58" s="535"/>
      <c r="AE58" s="538" t="e">
        <v>#REF!</v>
      </c>
      <c r="AF58" s="522">
        <v>1</v>
      </c>
      <c r="AG58" s="522">
        <v>43101</v>
      </c>
      <c r="AH58" s="535"/>
      <c r="AI58" s="535"/>
      <c r="AJ58" s="530">
        <v>43109</v>
      </c>
      <c r="AK58" s="535"/>
      <c r="AL58" s="533" t="s">
        <v>929</v>
      </c>
      <c r="AM58" s="535"/>
      <c r="AN58" s="535"/>
      <c r="AO58" s="529">
        <f>Техкарта6[[#This Row],[Масса]]*Техкарта6[[#This Row],[Витрати кбм]]</f>
        <v>33815.549999999996</v>
      </c>
      <c r="AP58" s="522">
        <v>556618</v>
      </c>
      <c r="AQ58" s="523" t="s">
        <v>1719</v>
      </c>
      <c r="AR58" s="535"/>
      <c r="AS58" s="535"/>
      <c r="AT58" s="535"/>
      <c r="AU58" s="535"/>
      <c r="AV58" s="535"/>
      <c r="AW58" s="535"/>
      <c r="AX58" s="535"/>
      <c r="AY58" s="522" t="s">
        <v>1720</v>
      </c>
      <c r="AZ58" s="535"/>
      <c r="BA58" s="535"/>
      <c r="BB58" s="522" t="s">
        <v>1726</v>
      </c>
      <c r="BC58" s="529">
        <f>MONTH(Техкарта6[[#This Row],[Дата ЛК]])</f>
        <v>12</v>
      </c>
      <c r="BD58" s="535"/>
      <c r="BE58" s="487">
        <v>5</v>
      </c>
      <c r="BF58" s="488">
        <v>40</v>
      </c>
      <c r="BG58" s="531" t="s">
        <v>1764</v>
      </c>
      <c r="BH5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8" s="535"/>
      <c r="BJ58" s="535">
        <v>4</v>
      </c>
      <c r="BK58" s="538" t="str">
        <f>Техкарта6[[#This Row],[Кв-л]]&amp;" кв ("&amp;Substring(Техкарта6[[#This Row],[Виділ]],"_",1)&amp;" вид) "&amp;Substring(Техкарта6[[#This Row],[Виділ]],"_",2)&amp;" діл."</f>
        <v>20 кв (4 вид) 1 діл.</v>
      </c>
      <c r="BL58" s="538" t="str">
        <f>Техкарта6[[#This Row],[ПолнаяДіл]] &amp;" "&amp;Техкарта6[[#This Row],[ЛК]]</f>
        <v>20 кв (4 вид) 1 діл. 556618</v>
      </c>
      <c r="BM58" s="538">
        <f>MONTH(Техкарта6[[#This Row],[Дата начала робіт договору]])</f>
        <v>1</v>
      </c>
      <c r="BN58" s="529" t="s">
        <v>1765</v>
      </c>
      <c r="BO58" s="529" t="s">
        <v>1765</v>
      </c>
      <c r="BP58" s="529" t="s">
        <v>1765</v>
      </c>
      <c r="BQ58" s="529" t="s">
        <v>31</v>
      </c>
    </row>
    <row r="59" spans="1:69">
      <c r="A59" s="522" t="s">
        <v>31</v>
      </c>
      <c r="B59" s="453" t="s">
        <v>19</v>
      </c>
      <c r="C59" s="537" t="s">
        <v>31</v>
      </c>
      <c r="D59" s="453">
        <v>0</v>
      </c>
      <c r="E59" s="453" t="s">
        <v>1716</v>
      </c>
      <c r="F59" s="453">
        <v>5</v>
      </c>
      <c r="G59" s="453" t="s">
        <v>1661</v>
      </c>
      <c r="H59" s="453">
        <v>121</v>
      </c>
      <c r="I59" s="453" t="s">
        <v>1660</v>
      </c>
      <c r="J59" s="453">
        <v>0.8</v>
      </c>
      <c r="K59" s="453">
        <v>674</v>
      </c>
      <c r="L59" s="453">
        <v>0</v>
      </c>
      <c r="M59" s="453">
        <v>0</v>
      </c>
      <c r="N59" s="453">
        <v>1</v>
      </c>
      <c r="O59" s="453">
        <v>0</v>
      </c>
      <c r="P59" s="453">
        <v>0</v>
      </c>
      <c r="Q59" s="453">
        <v>0</v>
      </c>
      <c r="R59" s="453">
        <v>0</v>
      </c>
      <c r="S59" s="453">
        <v>0</v>
      </c>
      <c r="T59" s="453">
        <v>61</v>
      </c>
      <c r="U59" s="453">
        <v>0</v>
      </c>
      <c r="V59" s="453">
        <v>0</v>
      </c>
      <c r="W59" s="453">
        <v>98</v>
      </c>
      <c r="X59" s="538">
        <f>Техкарта6[[#This Row],[Масса]]/Техкарта6[[#This Row],[Кільк-сть дерев]]</f>
        <v>0.23738872403560832</v>
      </c>
      <c r="Y59" s="538">
        <f>SUM(Техкарта6[[#This Row],[Знач1]:[Знач12]])</f>
        <v>160</v>
      </c>
      <c r="Z59" s="538">
        <f>(Техкарта6[[#This Row],[Нелеквид]]+Техкарта6[[#This Row],[Масса]])/Техкарта6[[#This Row],[Площа,га]]</f>
        <v>200</v>
      </c>
      <c r="AA59" s="535">
        <v>150.00200000000001</v>
      </c>
      <c r="AB59" s="535">
        <v>48.604999999999997</v>
      </c>
      <c r="AC59" s="535">
        <v>0</v>
      </c>
      <c r="AD59" s="535"/>
      <c r="AE59" s="538" t="e">
        <v>#REF!</v>
      </c>
      <c r="AF59" s="522">
        <v>1</v>
      </c>
      <c r="AG59" s="522">
        <v>43101</v>
      </c>
      <c r="AH59" s="535"/>
      <c r="AI59" s="535"/>
      <c r="AJ59" s="530">
        <v>43109</v>
      </c>
      <c r="AK59" s="535"/>
      <c r="AL59" s="533" t="s">
        <v>1006</v>
      </c>
      <c r="AM59" s="535"/>
      <c r="AN59" s="535"/>
      <c r="AO59" s="529">
        <f>Техкарта6[[#This Row],[Масса]]*Техкарта6[[#This Row],[Витрати кбм]]</f>
        <v>24000.32</v>
      </c>
      <c r="AP59" s="522">
        <v>556618</v>
      </c>
      <c r="AQ59" s="523" t="s">
        <v>1719</v>
      </c>
      <c r="AR59" s="535"/>
      <c r="AS59" s="535"/>
      <c r="AT59" s="535"/>
      <c r="AU59" s="535"/>
      <c r="AV59" s="535"/>
      <c r="AW59" s="535"/>
      <c r="AX59" s="535"/>
      <c r="AY59" s="522" t="s">
        <v>1720</v>
      </c>
      <c r="AZ59" s="535"/>
      <c r="BA59" s="535"/>
      <c r="BB59" s="522" t="s">
        <v>1726</v>
      </c>
      <c r="BC59" s="529">
        <f>MONTH(Техкарта6[[#This Row],[Дата ЛК]])</f>
        <v>12</v>
      </c>
      <c r="BD59" s="535"/>
      <c r="BE59" s="487">
        <v>5</v>
      </c>
      <c r="BF59" s="488">
        <v>40</v>
      </c>
      <c r="BG59" s="531" t="s">
        <v>1764</v>
      </c>
      <c r="BH5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9" s="535"/>
      <c r="BJ59" s="535">
        <v>9</v>
      </c>
      <c r="BK59" s="538" t="str">
        <f>Техкарта6[[#This Row],[Кв-л]]&amp;" кв ("&amp;Substring(Техкарта6[[#This Row],[Виділ]],"_",1)&amp;" вид) "&amp;Substring(Техкарта6[[#This Row],[Виділ]],"_",2)&amp;" діл."</f>
        <v>121 кв (4 вид) 0 діл.</v>
      </c>
      <c r="BL59" s="538" t="str">
        <f>Техкарта6[[#This Row],[ПолнаяДіл]] &amp;" "&amp;Техкарта6[[#This Row],[ЛК]]</f>
        <v>121 кв (4 вид) 0 діл. 556618</v>
      </c>
      <c r="BM59" s="538">
        <f>MONTH(Техкарта6[[#This Row],[Дата начала робіт договору]])</f>
        <v>1</v>
      </c>
      <c r="BN59" s="529" t="s">
        <v>1766</v>
      </c>
      <c r="BO59" s="529" t="s">
        <v>1766</v>
      </c>
      <c r="BP59" s="529" t="s">
        <v>1766</v>
      </c>
      <c r="BQ59" s="529" t="s">
        <v>31</v>
      </c>
    </row>
    <row r="60" spans="1:69">
      <c r="A60" s="522" t="s">
        <v>1269</v>
      </c>
      <c r="B60" s="453" t="s">
        <v>216</v>
      </c>
      <c r="C60" s="537" t="s">
        <v>1767</v>
      </c>
      <c r="D60" s="453">
        <v>0</v>
      </c>
      <c r="E60" s="453" t="s">
        <v>1749</v>
      </c>
      <c r="F60" s="453">
        <v>3</v>
      </c>
      <c r="G60" s="453" t="s">
        <v>1750</v>
      </c>
      <c r="H60" s="453">
        <v>65</v>
      </c>
      <c r="I60" s="453" t="s">
        <v>1428</v>
      </c>
      <c r="J60" s="453">
        <v>0.8</v>
      </c>
      <c r="K60" s="453">
        <v>100</v>
      </c>
      <c r="L60" s="453"/>
      <c r="M60" s="453">
        <v>42</v>
      </c>
      <c r="N60" s="453">
        <v>0</v>
      </c>
      <c r="O60" s="453"/>
      <c r="P60" s="453"/>
      <c r="Q60" s="453"/>
      <c r="R60" s="453"/>
      <c r="S60" s="453">
        <v>0</v>
      </c>
      <c r="T60" s="453">
        <v>0</v>
      </c>
      <c r="U60" s="453"/>
      <c r="V60" s="453">
        <v>38</v>
      </c>
      <c r="W60" s="453">
        <v>0</v>
      </c>
      <c r="X60" s="538">
        <f>Техкарта6[[#This Row],[Масса]]/Техкарта6[[#This Row],[Кільк-сть дерев]]</f>
        <v>0.8</v>
      </c>
      <c r="Y60" s="538">
        <f>SUM(Техкарта6[[#This Row],[Знач1]:[Знач12]])</f>
        <v>80</v>
      </c>
      <c r="Z60" s="538">
        <f>(Техкарта6[[#This Row],[Нелеквид]]+Техкарта6[[#This Row],[Масса]])/Техкарта6[[#This Row],[Площа,га]]</f>
        <v>112.5</v>
      </c>
      <c r="AA60" s="535">
        <v>46.527999999999999</v>
      </c>
      <c r="AB60" s="535"/>
      <c r="AC60" s="535">
        <v>10</v>
      </c>
      <c r="AD60" s="535"/>
      <c r="AE60" s="538" t="e">
        <v>#REF!</v>
      </c>
      <c r="AF60" s="522">
        <v>1</v>
      </c>
      <c r="AG60" s="522">
        <v>43101</v>
      </c>
      <c r="AH60" s="535"/>
      <c r="AI60" s="535"/>
      <c r="AJ60" s="530">
        <v>43124</v>
      </c>
      <c r="AK60" s="535"/>
      <c r="AL60" s="533" t="s">
        <v>914</v>
      </c>
      <c r="AM60" s="535"/>
      <c r="AN60" s="535"/>
      <c r="AO60" s="529">
        <f>Техкарта6[[#This Row],[Масса]]*Техкарта6[[#This Row],[Витрати кбм]]</f>
        <v>3722.24</v>
      </c>
      <c r="AP60" s="522">
        <v>556648</v>
      </c>
      <c r="AQ60" s="523">
        <v>43124</v>
      </c>
      <c r="AR60" s="535"/>
      <c r="AS60" s="535"/>
      <c r="AT60" s="535"/>
      <c r="AU60" s="535"/>
      <c r="AV60" s="535"/>
      <c r="AW60" s="535"/>
      <c r="AX60" s="535"/>
      <c r="AY60" s="522" t="s">
        <v>1720</v>
      </c>
      <c r="AZ60" s="535"/>
      <c r="BA60" s="535"/>
      <c r="BB60" s="522" t="s">
        <v>1726</v>
      </c>
      <c r="BC60" s="529">
        <f>MONTH(Техкарта6[[#This Row],[Дата ЛК]])</f>
        <v>1</v>
      </c>
      <c r="BD60" s="535"/>
      <c r="BE60" s="487"/>
      <c r="BF60" s="488"/>
      <c r="BG60" s="531"/>
      <c r="BH6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0" s="535"/>
      <c r="BJ60" s="535">
        <v>27</v>
      </c>
      <c r="BK60" s="538" t="str">
        <f>Техкарта6[[#This Row],[Кв-л]]&amp;" кв ("&amp;Substring(Техкарта6[[#This Row],[Виділ]],"_",1)&amp;" вид) "&amp;Substring(Техкарта6[[#This Row],[Виділ]],"_",2)&amp;" діл."</f>
        <v>65 кв (2 вид) 1 діл.</v>
      </c>
      <c r="BL60" s="538" t="str">
        <f>Техкарта6[[#This Row],[ПолнаяДіл]] &amp;" "&amp;Техкарта6[[#This Row],[ЛК]]</f>
        <v>65 кв (2 вид) 1 діл. 556648</v>
      </c>
      <c r="BM60" s="538">
        <f>MONTH(Техкарта6[[#This Row],[Дата начала робіт договору]])</f>
        <v>1</v>
      </c>
      <c r="BN60" s="529"/>
      <c r="BO60" s="529"/>
      <c r="BP60" s="529"/>
      <c r="BQ60" s="529" t="s">
        <v>1269</v>
      </c>
    </row>
    <row r="61" spans="1:69">
      <c r="A61" s="522" t="s">
        <v>1269</v>
      </c>
      <c r="B61" s="453" t="s">
        <v>216</v>
      </c>
      <c r="C61" s="537" t="s">
        <v>1767</v>
      </c>
      <c r="D61" s="453">
        <v>0</v>
      </c>
      <c r="E61" s="453" t="s">
        <v>1749</v>
      </c>
      <c r="F61" s="453">
        <v>3</v>
      </c>
      <c r="G61" s="453" t="s">
        <v>1750</v>
      </c>
      <c r="H61" s="453">
        <v>65</v>
      </c>
      <c r="I61" s="453" t="s">
        <v>1664</v>
      </c>
      <c r="J61" s="453">
        <v>0.5</v>
      </c>
      <c r="K61" s="453">
        <v>54</v>
      </c>
      <c r="L61" s="453"/>
      <c r="M61" s="453">
        <v>21</v>
      </c>
      <c r="N61" s="453">
        <v>0</v>
      </c>
      <c r="O61" s="453"/>
      <c r="P61" s="453"/>
      <c r="Q61" s="453"/>
      <c r="R61" s="453"/>
      <c r="S61" s="453">
        <v>0</v>
      </c>
      <c r="T61" s="453">
        <v>0</v>
      </c>
      <c r="U61" s="453"/>
      <c r="V61" s="453">
        <v>17</v>
      </c>
      <c r="W61" s="453">
        <v>0</v>
      </c>
      <c r="X61" s="538">
        <f>Техкарта6[[#This Row],[Масса]]/Техкарта6[[#This Row],[Кільк-сть дерев]]</f>
        <v>0.70370370370370372</v>
      </c>
      <c r="Y61" s="538">
        <f>SUM(Техкарта6[[#This Row],[Знач1]:[Знач12]])</f>
        <v>38</v>
      </c>
      <c r="Z61" s="538">
        <f>(Техкарта6[[#This Row],[Нелеквид]]+Техкарта6[[#This Row],[Масса]])/Техкарта6[[#This Row],[Площа,га]]</f>
        <v>86</v>
      </c>
      <c r="AA61" s="535">
        <v>47.741</v>
      </c>
      <c r="AB61" s="535"/>
      <c r="AC61" s="535">
        <v>5</v>
      </c>
      <c r="AD61" s="535"/>
      <c r="AE61" s="538" t="e">
        <v>#REF!</v>
      </c>
      <c r="AF61" s="522">
        <v>1</v>
      </c>
      <c r="AG61" s="522">
        <v>43101</v>
      </c>
      <c r="AH61" s="535"/>
      <c r="AI61" s="535"/>
      <c r="AJ61" s="530">
        <v>43124</v>
      </c>
      <c r="AK61" s="535"/>
      <c r="AL61" s="533" t="s">
        <v>914</v>
      </c>
      <c r="AM61" s="535"/>
      <c r="AN61" s="535"/>
      <c r="AO61" s="529">
        <f>Техкарта6[[#This Row],[Масса]]*Техкарта6[[#This Row],[Витрати кбм]]</f>
        <v>1814.1579999999999</v>
      </c>
      <c r="AP61" s="522">
        <v>556648</v>
      </c>
      <c r="AQ61" s="523">
        <v>43124</v>
      </c>
      <c r="AR61" s="535"/>
      <c r="AS61" s="535"/>
      <c r="AT61" s="535"/>
      <c r="AU61" s="535"/>
      <c r="AV61" s="535"/>
      <c r="AW61" s="535"/>
      <c r="AX61" s="535"/>
      <c r="AY61" s="522" t="s">
        <v>1720</v>
      </c>
      <c r="AZ61" s="535"/>
      <c r="BA61" s="535"/>
      <c r="BB61" s="522" t="s">
        <v>1726</v>
      </c>
      <c r="BC61" s="529">
        <f>MONTH(Техкарта6[[#This Row],[Дата ЛК]])</f>
        <v>1</v>
      </c>
      <c r="BD61" s="535"/>
      <c r="BE61" s="487"/>
      <c r="BF61" s="488"/>
      <c r="BG61" s="531"/>
      <c r="BH6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1" s="535"/>
      <c r="BJ61" s="535">
        <v>28</v>
      </c>
      <c r="BK61" s="538" t="str">
        <f>Техкарта6[[#This Row],[Кв-л]]&amp;" кв ("&amp;Substring(Техкарта6[[#This Row],[Виділ]],"_",1)&amp;" вид) "&amp;Substring(Техкарта6[[#This Row],[Виділ]],"_",2)&amp;" діл."</f>
        <v>65 кв (3 вид) 0 діл.</v>
      </c>
      <c r="BL61" s="538" t="str">
        <f>Техкарта6[[#This Row],[ПолнаяДіл]] &amp;" "&amp;Техкарта6[[#This Row],[ЛК]]</f>
        <v>65 кв (3 вид) 0 діл. 556648</v>
      </c>
      <c r="BM61" s="538">
        <f>MONTH(Техкарта6[[#This Row],[Дата начала робіт договору]])</f>
        <v>1</v>
      </c>
      <c r="BN61" s="529"/>
      <c r="BO61" s="529"/>
      <c r="BP61" s="529"/>
      <c r="BQ61" s="529" t="s">
        <v>1269</v>
      </c>
    </row>
    <row r="62" spans="1:69">
      <c r="A62" s="522" t="s">
        <v>1269</v>
      </c>
      <c r="B62" s="453" t="s">
        <v>216</v>
      </c>
      <c r="C62" s="537" t="s">
        <v>1767</v>
      </c>
      <c r="D62" s="453">
        <v>0</v>
      </c>
      <c r="E62" s="453" t="s">
        <v>1749</v>
      </c>
      <c r="F62" s="453">
        <v>3</v>
      </c>
      <c r="G62" s="453" t="s">
        <v>1750</v>
      </c>
      <c r="H62" s="453">
        <v>65</v>
      </c>
      <c r="I62" s="453" t="s">
        <v>1660</v>
      </c>
      <c r="J62" s="453">
        <v>0.4</v>
      </c>
      <c r="K62" s="453">
        <v>37</v>
      </c>
      <c r="L62" s="453"/>
      <c r="M62" s="453">
        <v>19</v>
      </c>
      <c r="N62" s="453">
        <v>0</v>
      </c>
      <c r="O62" s="453"/>
      <c r="P62" s="453"/>
      <c r="Q62" s="453"/>
      <c r="R62" s="453"/>
      <c r="S62" s="453">
        <v>0</v>
      </c>
      <c r="T62" s="453">
        <v>0</v>
      </c>
      <c r="U62" s="453"/>
      <c r="V62" s="453">
        <v>14</v>
      </c>
      <c r="W62" s="453">
        <v>0</v>
      </c>
      <c r="X62" s="538">
        <f>Техкарта6[[#This Row],[Масса]]/Техкарта6[[#This Row],[Кільк-сть дерев]]</f>
        <v>0.89189189189189189</v>
      </c>
      <c r="Y62" s="538">
        <f>SUM(Техкарта6[[#This Row],[Знач1]:[Знач12]])</f>
        <v>33</v>
      </c>
      <c r="Z62" s="538">
        <f>(Техкарта6[[#This Row],[Нелеквид]]+Техкарта6[[#This Row],[Масса]])/Техкарта6[[#This Row],[Площа,га]]</f>
        <v>92.5</v>
      </c>
      <c r="AA62" s="535">
        <v>44.552</v>
      </c>
      <c r="AB62" s="535"/>
      <c r="AC62" s="535">
        <v>4</v>
      </c>
      <c r="AD62" s="535"/>
      <c r="AE62" s="538" t="e">
        <v>#REF!</v>
      </c>
      <c r="AF62" s="522">
        <v>1</v>
      </c>
      <c r="AG62" s="522">
        <v>43101</v>
      </c>
      <c r="AH62" s="535"/>
      <c r="AI62" s="535"/>
      <c r="AJ62" s="530">
        <v>43124</v>
      </c>
      <c r="AK62" s="535"/>
      <c r="AL62" s="533" t="s">
        <v>914</v>
      </c>
      <c r="AM62" s="535"/>
      <c r="AN62" s="535"/>
      <c r="AO62" s="529">
        <f>Техкарта6[[#This Row],[Масса]]*Техкарта6[[#This Row],[Витрати кбм]]</f>
        <v>1470.2159999999999</v>
      </c>
      <c r="AP62" s="522">
        <v>556648</v>
      </c>
      <c r="AQ62" s="523">
        <v>43124</v>
      </c>
      <c r="AR62" s="535"/>
      <c r="AS62" s="535"/>
      <c r="AT62" s="535"/>
      <c r="AU62" s="535"/>
      <c r="AV62" s="535"/>
      <c r="AW62" s="535"/>
      <c r="AX62" s="535"/>
      <c r="AY62" s="522" t="s">
        <v>1720</v>
      </c>
      <c r="AZ62" s="535"/>
      <c r="BA62" s="535"/>
      <c r="BB62" s="522" t="s">
        <v>1726</v>
      </c>
      <c r="BC62" s="529">
        <f>MONTH(Техкарта6[[#This Row],[Дата ЛК]])</f>
        <v>1</v>
      </c>
      <c r="BD62" s="535"/>
      <c r="BE62" s="487"/>
      <c r="BF62" s="488"/>
      <c r="BG62" s="531"/>
      <c r="BH6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2" s="535"/>
      <c r="BJ62" s="535">
        <v>29</v>
      </c>
      <c r="BK62" s="538" t="str">
        <f>Техкарта6[[#This Row],[Кв-л]]&amp;" кв ("&amp;Substring(Техкарта6[[#This Row],[Виділ]],"_",1)&amp;" вид) "&amp;Substring(Техкарта6[[#This Row],[Виділ]],"_",2)&amp;" діл."</f>
        <v>65 кв (4 вид) 0 діл.</v>
      </c>
      <c r="BL62" s="538" t="str">
        <f>Техкарта6[[#This Row],[ПолнаяДіл]] &amp;" "&amp;Техкарта6[[#This Row],[ЛК]]</f>
        <v>65 кв (4 вид) 0 діл. 556648</v>
      </c>
      <c r="BM62" s="538">
        <f>MONTH(Техкарта6[[#This Row],[Дата начала робіт договору]])</f>
        <v>1</v>
      </c>
      <c r="BN62" s="529"/>
      <c r="BO62" s="529"/>
      <c r="BP62" s="529"/>
      <c r="BQ62" s="529" t="s">
        <v>1269</v>
      </c>
    </row>
    <row r="63" spans="1:69">
      <c r="A63" s="522" t="s">
        <v>1269</v>
      </c>
      <c r="B63" s="453" t="s">
        <v>216</v>
      </c>
      <c r="C63" s="537" t="s">
        <v>1767</v>
      </c>
      <c r="D63" s="453">
        <v>0</v>
      </c>
      <c r="E63" s="453" t="s">
        <v>1749</v>
      </c>
      <c r="F63" s="453">
        <v>3</v>
      </c>
      <c r="G63" s="453" t="s">
        <v>1750</v>
      </c>
      <c r="H63" s="453">
        <v>65</v>
      </c>
      <c r="I63" s="453" t="s">
        <v>1687</v>
      </c>
      <c r="J63" s="453">
        <v>0.6</v>
      </c>
      <c r="K63" s="453">
        <v>40</v>
      </c>
      <c r="L63" s="453"/>
      <c r="M63" s="453">
        <v>13</v>
      </c>
      <c r="N63" s="453">
        <v>0</v>
      </c>
      <c r="O63" s="453"/>
      <c r="P63" s="453"/>
      <c r="Q63" s="453"/>
      <c r="R63" s="453"/>
      <c r="S63" s="453">
        <v>0</v>
      </c>
      <c r="T63" s="453">
        <v>0</v>
      </c>
      <c r="U63" s="453"/>
      <c r="V63" s="453">
        <v>17</v>
      </c>
      <c r="W63" s="453">
        <v>0</v>
      </c>
      <c r="X63" s="538">
        <f>Техкарта6[[#This Row],[Масса]]/Техкарта6[[#This Row],[Кільк-сть дерев]]</f>
        <v>0.75</v>
      </c>
      <c r="Y63" s="538">
        <f>SUM(Техкарта6[[#This Row],[Знач1]:[Знач12]])</f>
        <v>30</v>
      </c>
      <c r="Z63" s="538">
        <f>(Техкарта6[[#This Row],[Нелеквид]]+Техкарта6[[#This Row],[Масса]])/Техкарта6[[#This Row],[Площа,га]]</f>
        <v>55</v>
      </c>
      <c r="AA63" s="535">
        <v>52.372</v>
      </c>
      <c r="AB63" s="535"/>
      <c r="AC63" s="535">
        <v>3</v>
      </c>
      <c r="AD63" s="535"/>
      <c r="AE63" s="538" t="e">
        <v>#REF!</v>
      </c>
      <c r="AF63" s="522">
        <v>1</v>
      </c>
      <c r="AG63" s="522">
        <v>43101</v>
      </c>
      <c r="AH63" s="535"/>
      <c r="AI63" s="535"/>
      <c r="AJ63" s="530">
        <v>43124</v>
      </c>
      <c r="AK63" s="535"/>
      <c r="AL63" s="533" t="s">
        <v>914</v>
      </c>
      <c r="AM63" s="535"/>
      <c r="AN63" s="535"/>
      <c r="AO63" s="529">
        <f>Техкарта6[[#This Row],[Масса]]*Техкарта6[[#This Row],[Витрати кбм]]</f>
        <v>1571.16</v>
      </c>
      <c r="AP63" s="522">
        <v>556648</v>
      </c>
      <c r="AQ63" s="523">
        <v>43124</v>
      </c>
      <c r="AR63" s="535"/>
      <c r="AS63" s="535"/>
      <c r="AT63" s="535"/>
      <c r="AU63" s="535"/>
      <c r="AV63" s="535"/>
      <c r="AW63" s="535"/>
      <c r="AX63" s="535"/>
      <c r="AY63" s="522" t="s">
        <v>1720</v>
      </c>
      <c r="AZ63" s="535"/>
      <c r="BA63" s="535"/>
      <c r="BB63" s="522" t="s">
        <v>1726</v>
      </c>
      <c r="BC63" s="529">
        <f>MONTH(Техкарта6[[#This Row],[Дата ЛК]])</f>
        <v>1</v>
      </c>
      <c r="BD63" s="535"/>
      <c r="BE63" s="487"/>
      <c r="BF63" s="488"/>
      <c r="BG63" s="531"/>
      <c r="BH6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3" s="535"/>
      <c r="BJ63" s="535">
        <v>30</v>
      </c>
      <c r="BK63" s="538" t="str">
        <f>Техкарта6[[#This Row],[Кв-л]]&amp;" кв ("&amp;Substring(Техкарта6[[#This Row],[Виділ]],"_",1)&amp;" вид) "&amp;Substring(Техкарта6[[#This Row],[Виділ]],"_",2)&amp;" діл."</f>
        <v>65 кв (5 вид) 0 діл.</v>
      </c>
      <c r="BL63" s="538" t="str">
        <f>Техкарта6[[#This Row],[ПолнаяДіл]] &amp;" "&amp;Техкарта6[[#This Row],[ЛК]]</f>
        <v>65 кв (5 вид) 0 діл. 556648</v>
      </c>
      <c r="BM63" s="538">
        <f>MONTH(Техкарта6[[#This Row],[Дата начала робіт договору]])</f>
        <v>1</v>
      </c>
      <c r="BN63" s="529"/>
      <c r="BO63" s="529"/>
      <c r="BP63" s="529"/>
      <c r="BQ63" s="529" t="s">
        <v>1269</v>
      </c>
    </row>
    <row r="64" spans="1:69">
      <c r="A64" s="522" t="s">
        <v>1269</v>
      </c>
      <c r="B64" s="453" t="s">
        <v>216</v>
      </c>
      <c r="C64" s="537" t="s">
        <v>1767</v>
      </c>
      <c r="D64" s="453">
        <v>0</v>
      </c>
      <c r="E64" s="453" t="s">
        <v>1749</v>
      </c>
      <c r="F64" s="453">
        <v>3</v>
      </c>
      <c r="G64" s="453" t="s">
        <v>1750</v>
      </c>
      <c r="H64" s="453">
        <v>65</v>
      </c>
      <c r="I64" s="453" t="s">
        <v>1768</v>
      </c>
      <c r="J64" s="453">
        <v>0.3</v>
      </c>
      <c r="K64" s="453">
        <v>8</v>
      </c>
      <c r="L64" s="453"/>
      <c r="M64" s="453">
        <v>3</v>
      </c>
      <c r="N64" s="453">
        <v>0</v>
      </c>
      <c r="O64" s="453"/>
      <c r="P64" s="453"/>
      <c r="Q64" s="453"/>
      <c r="R64" s="453"/>
      <c r="S64" s="453">
        <v>0</v>
      </c>
      <c r="T64" s="453">
        <v>0</v>
      </c>
      <c r="U64" s="453"/>
      <c r="V64" s="453">
        <v>3</v>
      </c>
      <c r="W64" s="453">
        <v>0</v>
      </c>
      <c r="X64" s="538">
        <f>Техкарта6[[#This Row],[Масса]]/Техкарта6[[#This Row],[Кільк-сть дерев]]</f>
        <v>0.75</v>
      </c>
      <c r="Y64" s="538">
        <f>SUM(Техкарта6[[#This Row],[Знач1]:[Знач12]])</f>
        <v>6</v>
      </c>
      <c r="Z64" s="538">
        <f>(Техкарта6[[#This Row],[Нелеквид]]+Техкарта6[[#This Row],[Масса]])/Техкарта6[[#This Row],[Площа,га]]</f>
        <v>20</v>
      </c>
      <c r="AA64" s="535">
        <v>52.860999999999997</v>
      </c>
      <c r="AB64" s="535"/>
      <c r="AC64" s="535">
        <v>0</v>
      </c>
      <c r="AD64" s="535"/>
      <c r="AE64" s="538" t="e">
        <v>#REF!</v>
      </c>
      <c r="AF64" s="522">
        <v>1</v>
      </c>
      <c r="AG64" s="522">
        <v>43101</v>
      </c>
      <c r="AH64" s="535"/>
      <c r="AI64" s="535"/>
      <c r="AJ64" s="530">
        <v>43124</v>
      </c>
      <c r="AK64" s="535"/>
      <c r="AL64" s="533" t="s">
        <v>914</v>
      </c>
      <c r="AM64" s="535"/>
      <c r="AN64" s="535"/>
      <c r="AO64" s="529">
        <f>Техкарта6[[#This Row],[Масса]]*Техкарта6[[#This Row],[Витрати кбм]]</f>
        <v>317.166</v>
      </c>
      <c r="AP64" s="522">
        <v>556648</v>
      </c>
      <c r="AQ64" s="523">
        <v>43124</v>
      </c>
      <c r="AR64" s="535"/>
      <c r="AS64" s="535"/>
      <c r="AT64" s="535"/>
      <c r="AU64" s="535"/>
      <c r="AV64" s="535"/>
      <c r="AW64" s="535"/>
      <c r="AX64" s="535"/>
      <c r="AY64" s="522" t="s">
        <v>1720</v>
      </c>
      <c r="AZ64" s="535"/>
      <c r="BA64" s="535"/>
      <c r="BB64" s="522" t="s">
        <v>1726</v>
      </c>
      <c r="BC64" s="529">
        <f>MONTH(Техкарта6[[#This Row],[Дата ЛК]])</f>
        <v>1</v>
      </c>
      <c r="BD64" s="535"/>
      <c r="BE64" s="487"/>
      <c r="BF64" s="488"/>
      <c r="BG64" s="531"/>
      <c r="BH6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4" s="535"/>
      <c r="BJ64" s="535">
        <v>31</v>
      </c>
      <c r="BK64" s="538" t="str">
        <f>Техкарта6[[#This Row],[Кв-л]]&amp;" кв ("&amp;Substring(Техкарта6[[#This Row],[Виділ]],"_",1)&amp;" вид) "&amp;Substring(Техкарта6[[#This Row],[Виділ]],"_",2)&amp;" діл."</f>
        <v>65 кв (6 вид) 0 діл.</v>
      </c>
      <c r="BL64" s="538" t="str">
        <f>Техкарта6[[#This Row],[ПолнаяДіл]] &amp;" "&amp;Техкарта6[[#This Row],[ЛК]]</f>
        <v>65 кв (6 вид) 0 діл. 556648</v>
      </c>
      <c r="BM64" s="538">
        <f>MONTH(Техкарта6[[#This Row],[Дата начала робіт договору]])</f>
        <v>1</v>
      </c>
      <c r="BN64" s="529"/>
      <c r="BO64" s="529"/>
      <c r="BP64" s="529"/>
      <c r="BQ64" s="529" t="s">
        <v>1269</v>
      </c>
    </row>
    <row r="65" spans="1:69">
      <c r="A65" s="522" t="s">
        <v>1269</v>
      </c>
      <c r="B65" s="453" t="s">
        <v>216</v>
      </c>
      <c r="C65" s="537" t="s">
        <v>1767</v>
      </c>
      <c r="D65" s="453">
        <v>0</v>
      </c>
      <c r="E65" s="453" t="s">
        <v>1749</v>
      </c>
      <c r="F65" s="453">
        <v>3</v>
      </c>
      <c r="G65" s="453" t="s">
        <v>1750</v>
      </c>
      <c r="H65" s="453">
        <v>65</v>
      </c>
      <c r="I65" s="453" t="s">
        <v>1659</v>
      </c>
      <c r="J65" s="453">
        <v>0.1</v>
      </c>
      <c r="K65" s="453">
        <v>18</v>
      </c>
      <c r="L65" s="453"/>
      <c r="M65" s="453">
        <v>0</v>
      </c>
      <c r="N65" s="453">
        <v>0</v>
      </c>
      <c r="O65" s="453"/>
      <c r="P65" s="453"/>
      <c r="Q65" s="453"/>
      <c r="R65" s="453"/>
      <c r="S65" s="453">
        <v>0</v>
      </c>
      <c r="T65" s="453">
        <v>0</v>
      </c>
      <c r="U65" s="453"/>
      <c r="V65" s="453">
        <v>8</v>
      </c>
      <c r="W65" s="453">
        <v>0</v>
      </c>
      <c r="X65" s="538">
        <f>Техкарта6[[#This Row],[Масса]]/Техкарта6[[#This Row],[Кільк-сть дерев]]</f>
        <v>0.44444444444444442</v>
      </c>
      <c r="Y65" s="538">
        <f>SUM(Техкарта6[[#This Row],[Знач1]:[Знач12]])</f>
        <v>8</v>
      </c>
      <c r="Z65" s="538">
        <f>(Техкарта6[[#This Row],[Нелеквид]]+Техкарта6[[#This Row],[Масса]])/Техкарта6[[#This Row],[Площа,га]]</f>
        <v>90</v>
      </c>
      <c r="AA65" s="535">
        <v>128.501</v>
      </c>
      <c r="AB65" s="535"/>
      <c r="AC65" s="535">
        <v>1</v>
      </c>
      <c r="AD65" s="535"/>
      <c r="AE65" s="538" t="e">
        <v>#REF!</v>
      </c>
      <c r="AF65" s="522">
        <v>1</v>
      </c>
      <c r="AG65" s="522">
        <v>43101</v>
      </c>
      <c r="AH65" s="535"/>
      <c r="AI65" s="535"/>
      <c r="AJ65" s="530">
        <v>43124</v>
      </c>
      <c r="AK65" s="535"/>
      <c r="AL65" s="533" t="s">
        <v>914</v>
      </c>
      <c r="AM65" s="535"/>
      <c r="AN65" s="535"/>
      <c r="AO65" s="529">
        <f>Техкарта6[[#This Row],[Масса]]*Техкарта6[[#This Row],[Витрати кбм]]</f>
        <v>1028.008</v>
      </c>
      <c r="AP65" s="522">
        <v>556648</v>
      </c>
      <c r="AQ65" s="523">
        <v>43124</v>
      </c>
      <c r="AR65" s="535"/>
      <c r="AS65" s="535"/>
      <c r="AT65" s="535"/>
      <c r="AU65" s="535"/>
      <c r="AV65" s="535"/>
      <c r="AW65" s="535"/>
      <c r="AX65" s="535"/>
      <c r="AY65" s="522" t="s">
        <v>1720</v>
      </c>
      <c r="AZ65" s="535"/>
      <c r="BA65" s="535"/>
      <c r="BB65" s="522" t="s">
        <v>1726</v>
      </c>
      <c r="BC65" s="529">
        <f>MONTH(Техкарта6[[#This Row],[Дата ЛК]])</f>
        <v>1</v>
      </c>
      <c r="BD65" s="535"/>
      <c r="BE65" s="487"/>
      <c r="BF65" s="488"/>
      <c r="BG65" s="531"/>
      <c r="BH6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5" s="535"/>
      <c r="BJ65" s="535">
        <v>32</v>
      </c>
      <c r="BK65" s="538" t="str">
        <f>Техкарта6[[#This Row],[Кв-л]]&amp;" кв ("&amp;Substring(Техкарта6[[#This Row],[Виділ]],"_",1)&amp;" вид) "&amp;Substring(Техкарта6[[#This Row],[Виділ]],"_",2)&amp;" діл."</f>
        <v>65 кв (8 вид) 0 діл.</v>
      </c>
      <c r="BL65" s="538" t="str">
        <f>Техкарта6[[#This Row],[ПолнаяДіл]] &amp;" "&amp;Техкарта6[[#This Row],[ЛК]]</f>
        <v>65 кв (8 вид) 0 діл. 556648</v>
      </c>
      <c r="BM65" s="538">
        <f>MONTH(Техкарта6[[#This Row],[Дата начала робіт договору]])</f>
        <v>1</v>
      </c>
      <c r="BN65" s="529"/>
      <c r="BO65" s="529"/>
      <c r="BP65" s="529"/>
      <c r="BQ65" s="529" t="s">
        <v>1269</v>
      </c>
    </row>
    <row r="66" spans="1:69">
      <c r="A66" s="522" t="s">
        <v>1269</v>
      </c>
      <c r="B66" s="453" t="s">
        <v>216</v>
      </c>
      <c r="C66" s="537" t="s">
        <v>1767</v>
      </c>
      <c r="D66" s="453">
        <v>0</v>
      </c>
      <c r="E66" s="453" t="s">
        <v>1749</v>
      </c>
      <c r="F66" s="453">
        <v>3</v>
      </c>
      <c r="G66" s="453" t="s">
        <v>1750</v>
      </c>
      <c r="H66" s="453">
        <v>65</v>
      </c>
      <c r="I66" s="453" t="s">
        <v>1688</v>
      </c>
      <c r="J66" s="453">
        <v>0.2</v>
      </c>
      <c r="K66" s="453">
        <v>10</v>
      </c>
      <c r="L66" s="453"/>
      <c r="M66" s="453">
        <v>6</v>
      </c>
      <c r="N66" s="453">
        <v>0</v>
      </c>
      <c r="O66" s="453"/>
      <c r="P66" s="453"/>
      <c r="Q66" s="453"/>
      <c r="R66" s="453"/>
      <c r="S66" s="453">
        <v>0</v>
      </c>
      <c r="T66" s="453">
        <v>0</v>
      </c>
      <c r="U66" s="453"/>
      <c r="V66" s="453">
        <v>3</v>
      </c>
      <c r="W66" s="453">
        <v>0</v>
      </c>
      <c r="X66" s="538">
        <f>Техкарта6[[#This Row],[Масса]]/Техкарта6[[#This Row],[Кільк-сть дерев]]</f>
        <v>0.9</v>
      </c>
      <c r="Y66" s="538">
        <f>SUM(Техкарта6[[#This Row],[Знач1]:[Знач12]])</f>
        <v>9</v>
      </c>
      <c r="Z66" s="538">
        <f>(Техкарта6[[#This Row],[Нелеквид]]+Техкарта6[[#This Row],[Масса]])/Техкарта6[[#This Row],[Площа,га]]</f>
        <v>50</v>
      </c>
      <c r="AA66" s="535">
        <v>41.015999999999998</v>
      </c>
      <c r="AB66" s="535"/>
      <c r="AC66" s="535">
        <v>1</v>
      </c>
      <c r="AD66" s="535"/>
      <c r="AE66" s="538" t="e">
        <v>#REF!</v>
      </c>
      <c r="AF66" s="522">
        <v>1</v>
      </c>
      <c r="AG66" s="522">
        <v>43101</v>
      </c>
      <c r="AH66" s="535"/>
      <c r="AI66" s="535"/>
      <c r="AJ66" s="530">
        <v>43124</v>
      </c>
      <c r="AK66" s="535"/>
      <c r="AL66" s="533" t="s">
        <v>914</v>
      </c>
      <c r="AM66" s="535"/>
      <c r="AN66" s="535"/>
      <c r="AO66" s="529">
        <f>Техкарта6[[#This Row],[Масса]]*Техкарта6[[#This Row],[Витрати кбм]]</f>
        <v>369.14400000000001</v>
      </c>
      <c r="AP66" s="522">
        <v>556648</v>
      </c>
      <c r="AQ66" s="523">
        <v>43124</v>
      </c>
      <c r="AR66" s="535"/>
      <c r="AS66" s="535"/>
      <c r="AT66" s="535"/>
      <c r="AU66" s="535"/>
      <c r="AV66" s="535"/>
      <c r="AW66" s="535"/>
      <c r="AX66" s="535"/>
      <c r="AY66" s="522" t="s">
        <v>1720</v>
      </c>
      <c r="AZ66" s="535"/>
      <c r="BA66" s="535"/>
      <c r="BB66" s="522" t="s">
        <v>1726</v>
      </c>
      <c r="BC66" s="529">
        <f>MONTH(Техкарта6[[#This Row],[Дата ЛК]])</f>
        <v>1</v>
      </c>
      <c r="BD66" s="535"/>
      <c r="BE66" s="487"/>
      <c r="BF66" s="488"/>
      <c r="BG66" s="531"/>
      <c r="BH6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6" s="535"/>
      <c r="BJ66" s="535">
        <v>33</v>
      </c>
      <c r="BK66" s="538" t="str">
        <f>Техкарта6[[#This Row],[Кв-л]]&amp;" кв ("&amp;Substring(Техкарта6[[#This Row],[Виділ]],"_",1)&amp;" вид) "&amp;Substring(Техкарта6[[#This Row],[Виділ]],"_",2)&amp;" діл."</f>
        <v>65 кв (9 вид) 0 діл.</v>
      </c>
      <c r="BL66" s="538" t="str">
        <f>Техкарта6[[#This Row],[ПолнаяДіл]] &amp;" "&amp;Техкарта6[[#This Row],[ЛК]]</f>
        <v>65 кв (9 вид) 0 діл. 556648</v>
      </c>
      <c r="BM66" s="538">
        <f>MONTH(Техкарта6[[#This Row],[Дата начала робіт договору]])</f>
        <v>1</v>
      </c>
      <c r="BN66" s="529"/>
      <c r="BO66" s="529"/>
      <c r="BP66" s="529"/>
      <c r="BQ66" s="529" t="s">
        <v>1269</v>
      </c>
    </row>
    <row r="67" spans="1:69">
      <c r="A67" s="522" t="s">
        <v>1269</v>
      </c>
      <c r="B67" s="453" t="s">
        <v>216</v>
      </c>
      <c r="C67" s="537" t="s">
        <v>1767</v>
      </c>
      <c r="D67" s="453">
        <v>0</v>
      </c>
      <c r="E67" s="453" t="s">
        <v>1749</v>
      </c>
      <c r="F67" s="453">
        <v>3</v>
      </c>
      <c r="G67" s="453" t="s">
        <v>1750</v>
      </c>
      <c r="H67" s="453">
        <v>58</v>
      </c>
      <c r="I67" s="453" t="s">
        <v>1769</v>
      </c>
      <c r="J67" s="453">
        <v>0.1</v>
      </c>
      <c r="K67" s="453">
        <v>55</v>
      </c>
      <c r="L67" s="453"/>
      <c r="M67" s="453">
        <v>3</v>
      </c>
      <c r="N67" s="453">
        <v>0</v>
      </c>
      <c r="O67" s="453"/>
      <c r="P67" s="453"/>
      <c r="Q67" s="453"/>
      <c r="R67" s="453"/>
      <c r="S67" s="453">
        <v>0</v>
      </c>
      <c r="T67" s="453">
        <v>0</v>
      </c>
      <c r="U67" s="453"/>
      <c r="V67" s="453">
        <v>40</v>
      </c>
      <c r="W67" s="453">
        <v>0</v>
      </c>
      <c r="X67" s="538">
        <f>Техкарта6[[#This Row],[Масса]]/Техкарта6[[#This Row],[Кільк-сть дерев]]</f>
        <v>0.78181818181818186</v>
      </c>
      <c r="Y67" s="538">
        <f>SUM(Техкарта6[[#This Row],[Знач1]:[Знач12]])</f>
        <v>43</v>
      </c>
      <c r="Z67" s="538">
        <f>(Техкарта6[[#This Row],[Нелеквид]]+Техкарта6[[#This Row],[Масса]])/Техкарта6[[#This Row],[Площа,га]]</f>
        <v>450</v>
      </c>
      <c r="AA67" s="535">
        <v>66.483999999999995</v>
      </c>
      <c r="AB67" s="535"/>
      <c r="AC67" s="535">
        <v>2</v>
      </c>
      <c r="AD67" s="535"/>
      <c r="AE67" s="538" t="e">
        <v>#REF!</v>
      </c>
      <c r="AF67" s="522">
        <v>1</v>
      </c>
      <c r="AG67" s="522">
        <v>43101</v>
      </c>
      <c r="AH67" s="535"/>
      <c r="AI67" s="535"/>
      <c r="AJ67" s="530">
        <v>43124</v>
      </c>
      <c r="AK67" s="535"/>
      <c r="AL67" s="533" t="s">
        <v>914</v>
      </c>
      <c r="AM67" s="535"/>
      <c r="AN67" s="535"/>
      <c r="AO67" s="529">
        <f>Техкарта6[[#This Row],[Масса]]*Техкарта6[[#This Row],[Витрати кбм]]</f>
        <v>2858.8119999999999</v>
      </c>
      <c r="AP67" s="522">
        <v>556648</v>
      </c>
      <c r="AQ67" s="523">
        <v>43124</v>
      </c>
      <c r="AR67" s="535"/>
      <c r="AS67" s="535"/>
      <c r="AT67" s="535"/>
      <c r="AU67" s="535"/>
      <c r="AV67" s="535"/>
      <c r="AW67" s="535"/>
      <c r="AX67" s="535"/>
      <c r="AY67" s="522" t="s">
        <v>1720</v>
      </c>
      <c r="AZ67" s="535"/>
      <c r="BA67" s="535"/>
      <c r="BB67" s="522" t="s">
        <v>1726</v>
      </c>
      <c r="BC67" s="529">
        <f>MONTH(Техкарта6[[#This Row],[Дата ЛК]])</f>
        <v>1</v>
      </c>
      <c r="BD67" s="535"/>
      <c r="BE67" s="487"/>
      <c r="BF67" s="488"/>
      <c r="BG67" s="531"/>
      <c r="BH6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7" s="535"/>
      <c r="BJ67" s="535">
        <v>34</v>
      </c>
      <c r="BK67" s="538" t="str">
        <f>Техкарта6[[#This Row],[Кв-л]]&amp;" кв ("&amp;Substring(Техкарта6[[#This Row],[Виділ]],"_",1)&amp;" вид) "&amp;Substring(Техкарта6[[#This Row],[Виділ]],"_",2)&amp;" діл."</f>
        <v>58 кв (12 вид) 0 діл.</v>
      </c>
      <c r="BL67" s="538" t="str">
        <f>Техкарта6[[#This Row],[ПолнаяДіл]] &amp;" "&amp;Техкарта6[[#This Row],[ЛК]]</f>
        <v>58 кв (12 вид) 0 діл. 556648</v>
      </c>
      <c r="BM67" s="538">
        <f>MONTH(Техкарта6[[#This Row],[Дата начала робіт договору]])</f>
        <v>1</v>
      </c>
      <c r="BN67" s="529"/>
      <c r="BO67" s="529"/>
      <c r="BP67" s="529"/>
      <c r="BQ67" s="529" t="s">
        <v>1269</v>
      </c>
    </row>
    <row r="68" spans="1:69">
      <c r="A68" s="522" t="s">
        <v>1269</v>
      </c>
      <c r="B68" s="453" t="s">
        <v>216</v>
      </c>
      <c r="C68" s="537" t="s">
        <v>1767</v>
      </c>
      <c r="D68" s="453">
        <v>0</v>
      </c>
      <c r="E68" s="453" t="s">
        <v>1749</v>
      </c>
      <c r="F68" s="453">
        <v>3</v>
      </c>
      <c r="G68" s="453" t="s">
        <v>1750</v>
      </c>
      <c r="H68" s="453">
        <v>58</v>
      </c>
      <c r="I68" s="453" t="s">
        <v>1770</v>
      </c>
      <c r="J68" s="453">
        <v>0.1</v>
      </c>
      <c r="K68" s="453">
        <v>33</v>
      </c>
      <c r="L68" s="453"/>
      <c r="M68" s="453">
        <v>2</v>
      </c>
      <c r="N68" s="453">
        <v>0</v>
      </c>
      <c r="O68" s="453"/>
      <c r="P68" s="453"/>
      <c r="Q68" s="453"/>
      <c r="R68" s="453"/>
      <c r="S68" s="453">
        <v>0</v>
      </c>
      <c r="T68" s="453">
        <v>0</v>
      </c>
      <c r="U68" s="453"/>
      <c r="V68" s="453">
        <v>28</v>
      </c>
      <c r="W68" s="453">
        <v>0</v>
      </c>
      <c r="X68" s="538">
        <f>Техкарта6[[#This Row],[Масса]]/Техкарта6[[#This Row],[Кільк-сть дерев]]</f>
        <v>0.90909090909090906</v>
      </c>
      <c r="Y68" s="538">
        <f>SUM(Техкарта6[[#This Row],[Знач1]:[Знач12]])</f>
        <v>30</v>
      </c>
      <c r="Z68" s="538">
        <f>(Техкарта6[[#This Row],[Нелеквид]]+Техкарта6[[#This Row],[Масса]])/Техкарта6[[#This Row],[Площа,га]]</f>
        <v>310</v>
      </c>
      <c r="AA68" s="535">
        <v>64.363</v>
      </c>
      <c r="AB68" s="535"/>
      <c r="AC68" s="535">
        <v>1</v>
      </c>
      <c r="AD68" s="535"/>
      <c r="AE68" s="538" t="e">
        <v>#REF!</v>
      </c>
      <c r="AF68" s="522">
        <v>1</v>
      </c>
      <c r="AG68" s="522">
        <v>43101</v>
      </c>
      <c r="AH68" s="535"/>
      <c r="AI68" s="535"/>
      <c r="AJ68" s="530">
        <v>43124</v>
      </c>
      <c r="AK68" s="535"/>
      <c r="AL68" s="533" t="s">
        <v>1019</v>
      </c>
      <c r="AM68" s="535"/>
      <c r="AN68" s="535"/>
      <c r="AO68" s="529">
        <f>Техкарта6[[#This Row],[Масса]]*Техкарта6[[#This Row],[Витрати кбм]]</f>
        <v>1930.8899999999999</v>
      </c>
      <c r="AP68" s="522">
        <v>556648</v>
      </c>
      <c r="AQ68" s="523">
        <v>43124</v>
      </c>
      <c r="AR68" s="535"/>
      <c r="AS68" s="535"/>
      <c r="AT68" s="535"/>
      <c r="AU68" s="535"/>
      <c r="AV68" s="535"/>
      <c r="AW68" s="535"/>
      <c r="AX68" s="535"/>
      <c r="AY68" s="522" t="s">
        <v>1720</v>
      </c>
      <c r="AZ68" s="535"/>
      <c r="BA68" s="535"/>
      <c r="BB68" s="522" t="s">
        <v>1726</v>
      </c>
      <c r="BC68" s="529">
        <f>MONTH(Техкарта6[[#This Row],[Дата ЛК]])</f>
        <v>1</v>
      </c>
      <c r="BD68" s="535"/>
      <c r="BE68" s="487"/>
      <c r="BF68" s="488"/>
      <c r="BG68" s="531"/>
      <c r="BH6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8" s="535"/>
      <c r="BJ68" s="535">
        <v>35</v>
      </c>
      <c r="BK68" s="538" t="str">
        <f>Техкарта6[[#This Row],[Кв-л]]&amp;" кв ("&amp;Substring(Техкарта6[[#This Row],[Виділ]],"_",1)&amp;" вид) "&amp;Substring(Техкарта6[[#This Row],[Виділ]],"_",2)&amp;" діл."</f>
        <v>58 кв (14 вид) 0 діл.</v>
      </c>
      <c r="BL68" s="538" t="str">
        <f>Техкарта6[[#This Row],[ПолнаяДіл]] &amp;" "&amp;Техкарта6[[#This Row],[ЛК]]</f>
        <v>58 кв (14 вид) 0 діл. 556648</v>
      </c>
      <c r="BM68" s="538">
        <f>MONTH(Техкарта6[[#This Row],[Дата начала робіт договору]])</f>
        <v>1</v>
      </c>
      <c r="BN68" s="529"/>
      <c r="BO68" s="529"/>
      <c r="BP68" s="529"/>
      <c r="BQ68" s="529" t="s">
        <v>1269</v>
      </c>
    </row>
    <row r="69" spans="1:69">
      <c r="A69" s="522" t="s">
        <v>1269</v>
      </c>
      <c r="B69" s="453" t="s">
        <v>216</v>
      </c>
      <c r="C69" s="537" t="s">
        <v>1767</v>
      </c>
      <c r="D69" s="453">
        <v>0</v>
      </c>
      <c r="E69" s="453" t="s">
        <v>1749</v>
      </c>
      <c r="F69" s="453">
        <v>3</v>
      </c>
      <c r="G69" s="453" t="s">
        <v>1750</v>
      </c>
      <c r="H69" s="453">
        <v>58</v>
      </c>
      <c r="I69" s="453" t="s">
        <v>1771</v>
      </c>
      <c r="J69" s="453">
        <v>0.3</v>
      </c>
      <c r="K69" s="453">
        <v>45</v>
      </c>
      <c r="L69" s="453"/>
      <c r="M69" s="453">
        <v>23</v>
      </c>
      <c r="N69" s="453">
        <v>0</v>
      </c>
      <c r="O69" s="453"/>
      <c r="P69" s="453"/>
      <c r="Q69" s="453"/>
      <c r="R69" s="453"/>
      <c r="S69" s="453">
        <v>0</v>
      </c>
      <c r="T69" s="453">
        <v>0</v>
      </c>
      <c r="U69" s="453"/>
      <c r="V69" s="453">
        <v>21</v>
      </c>
      <c r="W69" s="453">
        <v>0</v>
      </c>
      <c r="X69" s="538">
        <f>Техкарта6[[#This Row],[Масса]]/Техкарта6[[#This Row],[Кільк-сть дерев]]</f>
        <v>0.97777777777777775</v>
      </c>
      <c r="Y69" s="538">
        <f>SUM(Техкарта6[[#This Row],[Знач1]:[Знач12]])</f>
        <v>44</v>
      </c>
      <c r="Z69" s="538">
        <f>(Техкарта6[[#This Row],[Нелеквид]]+Техкарта6[[#This Row],[Масса]])/Техкарта6[[#This Row],[Площа,га]]</f>
        <v>160</v>
      </c>
      <c r="AA69" s="535">
        <v>46.616</v>
      </c>
      <c r="AB69" s="535"/>
      <c r="AC69" s="535">
        <v>4</v>
      </c>
      <c r="AD69" s="535"/>
      <c r="AE69" s="538" t="e">
        <v>#REF!</v>
      </c>
      <c r="AF69" s="522">
        <v>1</v>
      </c>
      <c r="AG69" s="522">
        <v>43101</v>
      </c>
      <c r="AH69" s="535"/>
      <c r="AI69" s="535"/>
      <c r="AJ69" s="530">
        <v>43124</v>
      </c>
      <c r="AK69" s="535"/>
      <c r="AL69" s="533" t="s">
        <v>1019</v>
      </c>
      <c r="AM69" s="535"/>
      <c r="AN69" s="535"/>
      <c r="AO69" s="529">
        <f>Техкарта6[[#This Row],[Масса]]*Техкарта6[[#This Row],[Витрати кбм]]</f>
        <v>2051.1039999999998</v>
      </c>
      <c r="AP69" s="522">
        <v>556648</v>
      </c>
      <c r="AQ69" s="523">
        <v>43124</v>
      </c>
      <c r="AR69" s="535"/>
      <c r="AS69" s="535"/>
      <c r="AT69" s="535"/>
      <c r="AU69" s="535"/>
      <c r="AV69" s="535"/>
      <c r="AW69" s="535"/>
      <c r="AX69" s="535"/>
      <c r="AY69" s="522" t="s">
        <v>1720</v>
      </c>
      <c r="AZ69" s="535"/>
      <c r="BA69" s="535"/>
      <c r="BB69" s="522" t="s">
        <v>1726</v>
      </c>
      <c r="BC69" s="529">
        <f>MONTH(Техкарта6[[#This Row],[Дата ЛК]])</f>
        <v>1</v>
      </c>
      <c r="BD69" s="535"/>
      <c r="BE69" s="487"/>
      <c r="BF69" s="488"/>
      <c r="BG69" s="531"/>
      <c r="BH6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9" s="535"/>
      <c r="BJ69" s="535">
        <v>36</v>
      </c>
      <c r="BK69" s="538" t="str">
        <f>Техкарта6[[#This Row],[Кв-л]]&amp;" кв ("&amp;Substring(Техкарта6[[#This Row],[Виділ]],"_",1)&amp;" вид) "&amp;Substring(Техкарта6[[#This Row],[Виділ]],"_",2)&amp;" діл."</f>
        <v>58 кв (15 вид) 1 діл.</v>
      </c>
      <c r="BL69" s="538" t="str">
        <f>Техкарта6[[#This Row],[ПолнаяДіл]] &amp;" "&amp;Техкарта6[[#This Row],[ЛК]]</f>
        <v>58 кв (15 вид) 1 діл. 556648</v>
      </c>
      <c r="BM69" s="538">
        <f>MONTH(Техкарта6[[#This Row],[Дата начала робіт договору]])</f>
        <v>1</v>
      </c>
      <c r="BN69" s="529"/>
      <c r="BO69" s="529"/>
      <c r="BP69" s="529"/>
      <c r="BQ69" s="529" t="s">
        <v>1269</v>
      </c>
    </row>
    <row r="70" spans="1:69">
      <c r="A70" s="522" t="s">
        <v>1269</v>
      </c>
      <c r="B70" s="453" t="s">
        <v>216</v>
      </c>
      <c r="C70" s="537" t="s">
        <v>1682</v>
      </c>
      <c r="D70" s="453">
        <v>0</v>
      </c>
      <c r="E70" s="453" t="s">
        <v>1749</v>
      </c>
      <c r="F70" s="453">
        <v>3</v>
      </c>
      <c r="G70" s="453" t="s">
        <v>1750</v>
      </c>
      <c r="H70" s="453">
        <v>58</v>
      </c>
      <c r="I70" s="453" t="s">
        <v>1688</v>
      </c>
      <c r="J70" s="453">
        <v>3.3</v>
      </c>
      <c r="K70" s="453">
        <v>274</v>
      </c>
      <c r="L70" s="453"/>
      <c r="M70" s="453">
        <v>31</v>
      </c>
      <c r="N70" s="453">
        <v>0</v>
      </c>
      <c r="O70" s="453"/>
      <c r="P70" s="453"/>
      <c r="Q70" s="453"/>
      <c r="R70" s="453"/>
      <c r="S70" s="453">
        <v>0</v>
      </c>
      <c r="T70" s="453">
        <v>0</v>
      </c>
      <c r="U70" s="453"/>
      <c r="V70" s="453">
        <v>110</v>
      </c>
      <c r="W70" s="453">
        <v>0</v>
      </c>
      <c r="X70" s="538">
        <f>Техкарта6[[#This Row],[Масса]]/Техкарта6[[#This Row],[Кільк-сть дерев]]</f>
        <v>0.51459854014598538</v>
      </c>
      <c r="Y70" s="538">
        <f>SUM(Техкарта6[[#This Row],[Знач1]:[Знач12]])</f>
        <v>141</v>
      </c>
      <c r="Z70" s="538">
        <f>(Техкарта6[[#This Row],[Нелеквид]]+Техкарта6[[#This Row],[Масса]])/Техкарта6[[#This Row],[Площа,га]]</f>
        <v>47.575757575757578</v>
      </c>
      <c r="AA70" s="535">
        <v>63.246000000000002</v>
      </c>
      <c r="AB70" s="535"/>
      <c r="AC70" s="535">
        <v>16</v>
      </c>
      <c r="AD70" s="535"/>
      <c r="AE70" s="538" t="e">
        <v>#REF!</v>
      </c>
      <c r="AF70" s="522">
        <v>1</v>
      </c>
      <c r="AG70" s="522">
        <v>43101</v>
      </c>
      <c r="AH70" s="535"/>
      <c r="AI70" s="535"/>
      <c r="AJ70" s="530">
        <v>43124</v>
      </c>
      <c r="AK70" s="535"/>
      <c r="AL70" s="533" t="s">
        <v>1019</v>
      </c>
      <c r="AM70" s="535"/>
      <c r="AN70" s="535"/>
      <c r="AO70" s="529">
        <f>Техкарта6[[#This Row],[Масса]]*Техкарта6[[#This Row],[Витрати кбм]]</f>
        <v>8917.6859999999997</v>
      </c>
      <c r="AP70" s="522">
        <v>556647</v>
      </c>
      <c r="AQ70" s="523">
        <v>43124</v>
      </c>
      <c r="AR70" s="535"/>
      <c r="AS70" s="535"/>
      <c r="AT70" s="535"/>
      <c r="AU70" s="535"/>
      <c r="AV70" s="535"/>
      <c r="AW70" s="535"/>
      <c r="AX70" s="535"/>
      <c r="AY70" s="522" t="s">
        <v>1720</v>
      </c>
      <c r="AZ70" s="535"/>
      <c r="BA70" s="535"/>
      <c r="BB70" s="522" t="s">
        <v>1726</v>
      </c>
      <c r="BC70" s="529">
        <f>MONTH(Техкарта6[[#This Row],[Дата ЛК]])</f>
        <v>1</v>
      </c>
      <c r="BD70" s="535"/>
      <c r="BE70" s="487"/>
      <c r="BF70" s="488"/>
      <c r="BG70" s="531"/>
      <c r="BH7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0" s="535"/>
      <c r="BJ70" s="535">
        <v>22</v>
      </c>
      <c r="BK70" s="538" t="str">
        <f>Техкарта6[[#This Row],[Кв-л]]&amp;" кв ("&amp;Substring(Техкарта6[[#This Row],[Виділ]],"_",1)&amp;" вид) "&amp;Substring(Техкарта6[[#This Row],[Виділ]],"_",2)&amp;" діл."</f>
        <v>58 кв (9 вид) 0 діл.</v>
      </c>
      <c r="BL70" s="538" t="str">
        <f>Техкарта6[[#This Row],[ПолнаяДіл]] &amp;" "&amp;Техкарта6[[#This Row],[ЛК]]</f>
        <v>58 кв (9 вид) 0 діл. 556647</v>
      </c>
      <c r="BM70" s="538">
        <f>MONTH(Техкарта6[[#This Row],[Дата начала робіт договору]])</f>
        <v>1</v>
      </c>
      <c r="BN70" s="529"/>
      <c r="BO70" s="529"/>
      <c r="BP70" s="529"/>
      <c r="BQ70" s="529" t="s">
        <v>1269</v>
      </c>
    </row>
    <row r="71" spans="1:69">
      <c r="A71" s="522" t="s">
        <v>1269</v>
      </c>
      <c r="B71" s="453" t="s">
        <v>216</v>
      </c>
      <c r="C71" s="537" t="s">
        <v>1682</v>
      </c>
      <c r="D71" s="453">
        <v>0</v>
      </c>
      <c r="E71" s="453" t="s">
        <v>1749</v>
      </c>
      <c r="F71" s="453">
        <v>3</v>
      </c>
      <c r="G71" s="453" t="s">
        <v>1750</v>
      </c>
      <c r="H71" s="453">
        <v>58</v>
      </c>
      <c r="I71" s="453" t="s">
        <v>1686</v>
      </c>
      <c r="J71" s="453">
        <v>1.8</v>
      </c>
      <c r="K71" s="453">
        <v>138</v>
      </c>
      <c r="L71" s="453"/>
      <c r="M71" s="453">
        <v>26</v>
      </c>
      <c r="N71" s="453">
        <v>0</v>
      </c>
      <c r="O71" s="453"/>
      <c r="P71" s="453"/>
      <c r="Q71" s="453"/>
      <c r="R71" s="453"/>
      <c r="S71" s="453">
        <v>0</v>
      </c>
      <c r="T71" s="453">
        <v>0</v>
      </c>
      <c r="U71" s="453"/>
      <c r="V71" s="453">
        <v>42</v>
      </c>
      <c r="W71" s="453">
        <v>0</v>
      </c>
      <c r="X71" s="538">
        <f>Техкарта6[[#This Row],[Масса]]/Техкарта6[[#This Row],[Кільк-сть дерев]]</f>
        <v>0.49275362318840582</v>
      </c>
      <c r="Y71" s="538">
        <f>SUM(Техкарта6[[#This Row],[Знач1]:[Знач12]])</f>
        <v>68</v>
      </c>
      <c r="Z71" s="538">
        <f>(Техкарта6[[#This Row],[Нелеквид]]+Техкарта6[[#This Row],[Масса]])/Техкарта6[[#This Row],[Площа,га]]</f>
        <v>41.666666666666664</v>
      </c>
      <c r="AA71" s="535">
        <v>93.039000000000001</v>
      </c>
      <c r="AB71" s="535"/>
      <c r="AC71" s="535">
        <v>7</v>
      </c>
      <c r="AD71" s="535"/>
      <c r="AE71" s="538" t="e">
        <v>#REF!</v>
      </c>
      <c r="AF71" s="522">
        <v>1</v>
      </c>
      <c r="AG71" s="522">
        <v>43101</v>
      </c>
      <c r="AH71" s="535"/>
      <c r="AI71" s="535"/>
      <c r="AJ71" s="530">
        <v>43124</v>
      </c>
      <c r="AK71" s="535"/>
      <c r="AL71" s="533" t="s">
        <v>1019</v>
      </c>
      <c r="AM71" s="535"/>
      <c r="AN71" s="535"/>
      <c r="AO71" s="529">
        <f>Техкарта6[[#This Row],[Масса]]*Техкарта6[[#This Row],[Витрати кбм]]</f>
        <v>6326.652</v>
      </c>
      <c r="AP71" s="522">
        <v>556647</v>
      </c>
      <c r="AQ71" s="523">
        <v>43124</v>
      </c>
      <c r="AR71" s="535"/>
      <c r="AS71" s="535"/>
      <c r="AT71" s="535"/>
      <c r="AU71" s="535"/>
      <c r="AV71" s="535"/>
      <c r="AW71" s="535"/>
      <c r="AX71" s="535"/>
      <c r="AY71" s="522" t="s">
        <v>1720</v>
      </c>
      <c r="AZ71" s="535"/>
      <c r="BA71" s="535"/>
      <c r="BB71" s="522" t="s">
        <v>1726</v>
      </c>
      <c r="BC71" s="529">
        <f>MONTH(Техкарта6[[#This Row],[Дата ЛК]])</f>
        <v>1</v>
      </c>
      <c r="BD71" s="535"/>
      <c r="BE71" s="487"/>
      <c r="BF71" s="488"/>
      <c r="BG71" s="531"/>
      <c r="BH7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1" s="535"/>
      <c r="BJ71" s="535">
        <v>23</v>
      </c>
      <c r="BK71" s="538" t="str">
        <f>Техкарта6[[#This Row],[Кв-л]]&amp;" кв ("&amp;Substring(Техкарта6[[#This Row],[Виділ]],"_",1)&amp;" вид) "&amp;Substring(Техкарта6[[#This Row],[Виділ]],"_",2)&amp;" діл."</f>
        <v>58 кв (11 вид) 0 діл.</v>
      </c>
      <c r="BL71" s="538" t="str">
        <f>Техкарта6[[#This Row],[ПолнаяДіл]] &amp;" "&amp;Техкарта6[[#This Row],[ЛК]]</f>
        <v>58 кв (11 вид) 0 діл. 556647</v>
      </c>
      <c r="BM71" s="538">
        <f>MONTH(Техкарта6[[#This Row],[Дата начала робіт договору]])</f>
        <v>1</v>
      </c>
      <c r="BN71" s="529"/>
      <c r="BO71" s="529"/>
      <c r="BP71" s="529"/>
      <c r="BQ71" s="529" t="s">
        <v>1269</v>
      </c>
    </row>
    <row r="72" spans="1:69">
      <c r="A72" s="522" t="s">
        <v>1269</v>
      </c>
      <c r="B72" s="453" t="s">
        <v>216</v>
      </c>
      <c r="C72" s="537" t="s">
        <v>1682</v>
      </c>
      <c r="D72" s="453">
        <v>0</v>
      </c>
      <c r="E72" s="453" t="s">
        <v>1749</v>
      </c>
      <c r="F72" s="453">
        <v>3</v>
      </c>
      <c r="G72" s="453" t="s">
        <v>1750</v>
      </c>
      <c r="H72" s="453">
        <v>58</v>
      </c>
      <c r="I72" s="453" t="s">
        <v>1694</v>
      </c>
      <c r="J72" s="453">
        <v>0.3</v>
      </c>
      <c r="K72" s="453">
        <v>19</v>
      </c>
      <c r="L72" s="453"/>
      <c r="M72" s="453">
        <v>13</v>
      </c>
      <c r="N72" s="453">
        <v>0</v>
      </c>
      <c r="O72" s="453"/>
      <c r="P72" s="453"/>
      <c r="Q72" s="453"/>
      <c r="R72" s="453"/>
      <c r="S72" s="453">
        <v>0</v>
      </c>
      <c r="T72" s="453">
        <v>0</v>
      </c>
      <c r="U72" s="453"/>
      <c r="V72" s="453">
        <v>7</v>
      </c>
      <c r="W72" s="453">
        <v>0</v>
      </c>
      <c r="X72" s="538">
        <f>Техкарта6[[#This Row],[Масса]]/Техкарта6[[#This Row],[Кільк-сть дерев]]</f>
        <v>1.0526315789473684</v>
      </c>
      <c r="Y72" s="538">
        <f>SUM(Техкарта6[[#This Row],[Знач1]:[Знач12]])</f>
        <v>20</v>
      </c>
      <c r="Z72" s="538">
        <f>(Техкарта6[[#This Row],[Нелеквид]]+Техкарта6[[#This Row],[Масса]])/Техкарта6[[#This Row],[Площа,га]]</f>
        <v>73.333333333333343</v>
      </c>
      <c r="AA72" s="535">
        <v>39.226999999999997</v>
      </c>
      <c r="AB72" s="535"/>
      <c r="AC72" s="535">
        <v>2</v>
      </c>
      <c r="AD72" s="535"/>
      <c r="AE72" s="538" t="e">
        <v>#REF!</v>
      </c>
      <c r="AF72" s="522">
        <v>1</v>
      </c>
      <c r="AG72" s="522">
        <v>43101</v>
      </c>
      <c r="AH72" s="535"/>
      <c r="AI72" s="535"/>
      <c r="AJ72" s="530">
        <v>43124</v>
      </c>
      <c r="AK72" s="535"/>
      <c r="AL72" s="533" t="s">
        <v>1019</v>
      </c>
      <c r="AM72" s="535"/>
      <c r="AN72" s="535"/>
      <c r="AO72" s="529">
        <f>Техкарта6[[#This Row],[Масса]]*Техкарта6[[#This Row],[Витрати кбм]]</f>
        <v>784.54</v>
      </c>
      <c r="AP72" s="522">
        <v>556647</v>
      </c>
      <c r="AQ72" s="523">
        <v>43124</v>
      </c>
      <c r="AR72" s="535"/>
      <c r="AS72" s="535"/>
      <c r="AT72" s="535"/>
      <c r="AU72" s="535"/>
      <c r="AV72" s="535"/>
      <c r="AW72" s="535"/>
      <c r="AX72" s="535"/>
      <c r="AY72" s="522" t="s">
        <v>1720</v>
      </c>
      <c r="AZ72" s="535"/>
      <c r="BA72" s="535"/>
      <c r="BB72" s="522" t="s">
        <v>1726</v>
      </c>
      <c r="BC72" s="529">
        <f>MONTH(Техкарта6[[#This Row],[Дата ЛК]])</f>
        <v>1</v>
      </c>
      <c r="BD72" s="535"/>
      <c r="BE72" s="487"/>
      <c r="BF72" s="488"/>
      <c r="BG72" s="531"/>
      <c r="BH7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2" s="535"/>
      <c r="BJ72" s="535">
        <v>24</v>
      </c>
      <c r="BK72" s="538" t="str">
        <f>Техкарта6[[#This Row],[Кв-л]]&amp;" кв ("&amp;Substring(Техкарта6[[#This Row],[Виділ]],"_",1)&amp;" вид) "&amp;Substring(Техкарта6[[#This Row],[Виділ]],"_",2)&amp;" діл."</f>
        <v>58 кв (13 вид) 0 діл.</v>
      </c>
      <c r="BL72" s="538" t="str">
        <f>Техкарта6[[#This Row],[ПолнаяДіл]] &amp;" "&amp;Техкарта6[[#This Row],[ЛК]]</f>
        <v>58 кв (13 вид) 0 діл. 556647</v>
      </c>
      <c r="BM72" s="538">
        <f>MONTH(Техкарта6[[#This Row],[Дата начала робіт договору]])</f>
        <v>1</v>
      </c>
      <c r="BN72" s="529"/>
      <c r="BO72" s="529"/>
      <c r="BP72" s="529"/>
      <c r="BQ72" s="529" t="s">
        <v>1269</v>
      </c>
    </row>
    <row r="73" spans="1:69">
      <c r="A73" s="522" t="s">
        <v>1269</v>
      </c>
      <c r="B73" s="453" t="s">
        <v>216</v>
      </c>
      <c r="C73" s="537" t="s">
        <v>1682</v>
      </c>
      <c r="D73" s="453">
        <v>0</v>
      </c>
      <c r="E73" s="453" t="s">
        <v>1749</v>
      </c>
      <c r="F73" s="453">
        <v>3</v>
      </c>
      <c r="G73" s="453" t="s">
        <v>1750</v>
      </c>
      <c r="H73" s="453">
        <v>89</v>
      </c>
      <c r="I73" s="453" t="s">
        <v>1688</v>
      </c>
      <c r="J73" s="453">
        <v>8.1999999999999993</v>
      </c>
      <c r="K73" s="453">
        <v>258</v>
      </c>
      <c r="L73" s="453"/>
      <c r="M73" s="453">
        <v>9</v>
      </c>
      <c r="N73" s="453">
        <v>0</v>
      </c>
      <c r="O73" s="453"/>
      <c r="P73" s="453"/>
      <c r="Q73" s="453"/>
      <c r="R73" s="453"/>
      <c r="S73" s="453">
        <v>0</v>
      </c>
      <c r="T73" s="453">
        <v>0</v>
      </c>
      <c r="U73" s="453"/>
      <c r="V73" s="453">
        <v>86</v>
      </c>
      <c r="W73" s="453">
        <v>0</v>
      </c>
      <c r="X73" s="538">
        <f>Техкарта6[[#This Row],[Масса]]/Техкарта6[[#This Row],[Кільк-сть дерев]]</f>
        <v>0.36821705426356588</v>
      </c>
      <c r="Y73" s="538">
        <f>SUM(Техкарта6[[#This Row],[Знач1]:[Знач12]])</f>
        <v>95</v>
      </c>
      <c r="Z73" s="538">
        <f>(Техкарта6[[#This Row],[Нелеквид]]+Техкарта6[[#This Row],[Масса]])/Техкарта6[[#This Row],[Площа,га]]</f>
        <v>12.926829268292684</v>
      </c>
      <c r="AA73" s="535">
        <v>81.358999999999995</v>
      </c>
      <c r="AB73" s="535"/>
      <c r="AC73" s="535">
        <v>11</v>
      </c>
      <c r="AD73" s="535"/>
      <c r="AE73" s="538" t="e">
        <v>#REF!</v>
      </c>
      <c r="AF73" s="522">
        <v>1</v>
      </c>
      <c r="AG73" s="522">
        <v>43101</v>
      </c>
      <c r="AH73" s="535"/>
      <c r="AI73" s="535"/>
      <c r="AJ73" s="530">
        <v>43124</v>
      </c>
      <c r="AK73" s="535"/>
      <c r="AL73" s="533" t="s">
        <v>1772</v>
      </c>
      <c r="AM73" s="535"/>
      <c r="AN73" s="535"/>
      <c r="AO73" s="529">
        <f>Техкарта6[[#This Row],[Масса]]*Техкарта6[[#This Row],[Витрати кбм]]</f>
        <v>7729.1049999999996</v>
      </c>
      <c r="AP73" s="522">
        <v>556647</v>
      </c>
      <c r="AQ73" s="523">
        <v>43124</v>
      </c>
      <c r="AR73" s="535"/>
      <c r="AS73" s="535"/>
      <c r="AT73" s="535"/>
      <c r="AU73" s="535"/>
      <c r="AV73" s="535"/>
      <c r="AW73" s="535"/>
      <c r="AX73" s="535"/>
      <c r="AY73" s="522" t="s">
        <v>1720</v>
      </c>
      <c r="AZ73" s="535"/>
      <c r="BA73" s="535"/>
      <c r="BB73" s="522" t="s">
        <v>1726</v>
      </c>
      <c r="BC73" s="529">
        <f>MONTH(Техкарта6[[#This Row],[Дата ЛК]])</f>
        <v>1</v>
      </c>
      <c r="BD73" s="535"/>
      <c r="BE73" s="487"/>
      <c r="BF73" s="488"/>
      <c r="BG73" s="531"/>
      <c r="BH7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3" s="535"/>
      <c r="BJ73" s="535">
        <v>25</v>
      </c>
      <c r="BK73" s="538" t="str">
        <f>Техкарта6[[#This Row],[Кв-л]]&amp;" кв ("&amp;Substring(Техкарта6[[#This Row],[Виділ]],"_",1)&amp;" вид) "&amp;Substring(Техкарта6[[#This Row],[Виділ]],"_",2)&amp;" діл."</f>
        <v>89 кв (9 вид) 0 діл.</v>
      </c>
      <c r="BL73" s="538" t="str">
        <f>Техкарта6[[#This Row],[ПолнаяДіл]] &amp;" "&amp;Техкарта6[[#This Row],[ЛК]]</f>
        <v>89 кв (9 вид) 0 діл. 556647</v>
      </c>
      <c r="BM73" s="538">
        <f>MONTH(Техкарта6[[#This Row],[Дата начала робіт договору]])</f>
        <v>1</v>
      </c>
      <c r="BN73" s="529"/>
      <c r="BO73" s="529"/>
      <c r="BP73" s="529"/>
      <c r="BQ73" s="529" t="s">
        <v>1269</v>
      </c>
    </row>
    <row r="74" spans="1:69">
      <c r="A74" s="522" t="s">
        <v>1269</v>
      </c>
      <c r="B74" s="453" t="s">
        <v>216</v>
      </c>
      <c r="C74" s="537" t="s">
        <v>1682</v>
      </c>
      <c r="D74" s="453">
        <v>0</v>
      </c>
      <c r="E74" s="453" t="s">
        <v>1749</v>
      </c>
      <c r="F74" s="453">
        <v>3</v>
      </c>
      <c r="G74" s="453" t="s">
        <v>1750</v>
      </c>
      <c r="H74" s="453">
        <v>125</v>
      </c>
      <c r="I74" s="453" t="s">
        <v>1773</v>
      </c>
      <c r="J74" s="453">
        <v>1</v>
      </c>
      <c r="K74" s="453">
        <v>186</v>
      </c>
      <c r="L74" s="453"/>
      <c r="M74" s="453">
        <v>0</v>
      </c>
      <c r="N74" s="453">
        <v>0</v>
      </c>
      <c r="O74" s="453"/>
      <c r="P74" s="453"/>
      <c r="Q74" s="453"/>
      <c r="R74" s="453"/>
      <c r="S74" s="453">
        <v>0</v>
      </c>
      <c r="T74" s="453">
        <v>0</v>
      </c>
      <c r="U74" s="453"/>
      <c r="V74" s="453">
        <v>29</v>
      </c>
      <c r="W74" s="453">
        <v>0</v>
      </c>
      <c r="X74" s="538">
        <f>Техкарта6[[#This Row],[Масса]]/Техкарта6[[#This Row],[Кільк-сть дерев]]</f>
        <v>0.15591397849462366</v>
      </c>
      <c r="Y74" s="538">
        <f>SUM(Техкарта6[[#This Row],[Знач1]:[Знач12]])</f>
        <v>29</v>
      </c>
      <c r="Z74" s="538">
        <f>(Техкарта6[[#This Row],[Нелеквид]]+Техкарта6[[#This Row],[Масса]])/Техкарта6[[#This Row],[Площа,га]]</f>
        <v>34</v>
      </c>
      <c r="AA74" s="535">
        <v>101.646</v>
      </c>
      <c r="AB74" s="535"/>
      <c r="AC74" s="535">
        <v>5</v>
      </c>
      <c r="AD74" s="535"/>
      <c r="AE74" s="538" t="e">
        <v>#REF!</v>
      </c>
      <c r="AF74" s="522">
        <v>1</v>
      </c>
      <c r="AG74" s="522">
        <v>43101</v>
      </c>
      <c r="AH74" s="535"/>
      <c r="AI74" s="535"/>
      <c r="AJ74" s="530">
        <v>43124</v>
      </c>
      <c r="AK74" s="535"/>
      <c r="AL74" s="533" t="s">
        <v>914</v>
      </c>
      <c r="AM74" s="535"/>
      <c r="AN74" s="535"/>
      <c r="AO74" s="529">
        <f>Техкарта6[[#This Row],[Масса]]*Техкарта6[[#This Row],[Витрати кбм]]</f>
        <v>2947.7339999999999</v>
      </c>
      <c r="AP74" s="522">
        <v>556647</v>
      </c>
      <c r="AQ74" s="523">
        <v>43124</v>
      </c>
      <c r="AR74" s="535"/>
      <c r="AS74" s="535"/>
      <c r="AT74" s="535"/>
      <c r="AU74" s="535"/>
      <c r="AV74" s="535"/>
      <c r="AW74" s="535"/>
      <c r="AX74" s="535"/>
      <c r="AY74" s="522" t="s">
        <v>1720</v>
      </c>
      <c r="AZ74" s="535"/>
      <c r="BA74" s="535"/>
      <c r="BB74" s="522" t="s">
        <v>1726</v>
      </c>
      <c r="BC74" s="529">
        <f>MONTH(Техкарта6[[#This Row],[Дата ЛК]])</f>
        <v>1</v>
      </c>
      <c r="BD74" s="535"/>
      <c r="BE74" s="487"/>
      <c r="BF74" s="488"/>
      <c r="BG74" s="531"/>
      <c r="BH7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4" s="535"/>
      <c r="BJ74" s="535">
        <v>26</v>
      </c>
      <c r="BK74" s="538" t="str">
        <f>Техкарта6[[#This Row],[Кв-л]]&amp;" кв ("&amp;Substring(Техкарта6[[#This Row],[Виділ]],"_",1)&amp;" вид) "&amp;Substring(Техкарта6[[#This Row],[Виділ]],"_",2)&amp;" діл."</f>
        <v>125 кв (21 вид) 0 діл.</v>
      </c>
      <c r="BL74" s="538" t="str">
        <f>Техкарта6[[#This Row],[ПолнаяДіл]] &amp;" "&amp;Техкарта6[[#This Row],[ЛК]]</f>
        <v>125 кв (21 вид) 0 діл. 556647</v>
      </c>
      <c r="BM74" s="538">
        <f>MONTH(Техкарта6[[#This Row],[Дата начала робіт договору]])</f>
        <v>1</v>
      </c>
      <c r="BN74" s="529"/>
      <c r="BO74" s="529"/>
      <c r="BP74" s="529"/>
      <c r="BQ74" s="529" t="s">
        <v>1269</v>
      </c>
    </row>
    <row r="77" spans="1:69">
      <c r="AX77" s="522" t="s">
        <v>1722</v>
      </c>
    </row>
    <row r="78" spans="1:69" ht="15.75">
      <c r="AB78" s="522">
        <v>82.869609197677406</v>
      </c>
      <c r="BJ78" s="539"/>
    </row>
    <row r="79" spans="1:69" ht="15.75">
      <c r="BJ79" s="539"/>
    </row>
    <row r="80" spans="1:69" ht="15.75">
      <c r="AB80" s="522">
        <v>32.786073043831102</v>
      </c>
      <c r="BJ80" s="539"/>
    </row>
    <row r="81" spans="62:62" ht="15.75">
      <c r="BJ81" s="539"/>
    </row>
    <row r="82" spans="62:62" ht="15.75">
      <c r="BJ82" s="539"/>
    </row>
    <row r="83" spans="62:62" ht="15.75">
      <c r="BJ83" s="539"/>
    </row>
  </sheetData>
  <dataValidations count="2">
    <dataValidation type="list" allowBlank="1" showInputMessage="1" showErrorMessage="1" sqref="E2:E74">
      <formula1>INDIRECT("ПородиИГруппи[список без груп порід]")</formula1>
    </dataValidation>
    <dataValidation type="list" allowBlank="1" showInputMessage="1" showErrorMessage="1" sqref="C2:C74">
      <formula1>INDIRECT("ВідРубкиРД[6]")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[12]Мастера!#REF!</xm:f>
          </x14:formula1>
          <xm:sqref>AL5:AL74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J6"/>
  <sheetViews>
    <sheetView workbookViewId="0">
      <selection activeCell="Y36" sqref="Y36"/>
    </sheetView>
  </sheetViews>
  <sheetFormatPr defaultRowHeight="15"/>
  <sheetData>
    <row r="1" spans="1:10" ht="15.75">
      <c r="A1" s="684" t="s">
        <v>1654</v>
      </c>
      <c r="B1" s="684" t="s">
        <v>1655</v>
      </c>
      <c r="C1" s="684" t="s">
        <v>1656</v>
      </c>
      <c r="D1" s="684" t="s">
        <v>1657</v>
      </c>
      <c r="E1" s="685" t="s">
        <v>1658</v>
      </c>
      <c r="F1" s="685"/>
      <c r="G1" s="685"/>
      <c r="H1" s="685"/>
      <c r="I1" s="685"/>
      <c r="J1" s="686" t="str">
        <f>IF(fВидШаблона="Молодняк","","Разом")</f>
        <v>Разом</v>
      </c>
    </row>
    <row r="2" spans="1:10">
      <c r="A2" s="684"/>
      <c r="B2" s="684"/>
      <c r="C2" s="684"/>
      <c r="D2" s="684"/>
      <c r="E2" s="689" t="str">
        <f>IF(fВидШаблона="Молодняк","хворосту","Діловоі")</f>
        <v>Діловоі</v>
      </c>
      <c r="F2" s="689" t="str">
        <f>IF(fВидШаблона="Молодняк","хмизу","Дровяної")</f>
        <v>Дровяної</v>
      </c>
      <c r="G2" s="689" t="str">
        <f>IF(fВидШаблона="Молодняк","","Разом ліквідної стовбурової")</f>
        <v>Разом ліквідної стовбурової</v>
      </c>
      <c r="H2" s="689" t="str">
        <f>IF(fВидШаблона="Молодняк","","ліквіду з крони")</f>
        <v>ліквіду з крони</v>
      </c>
      <c r="I2" s="689" t="str">
        <f>IF(fВидШаблона="Молодняк","","хворосту та сучків")</f>
        <v>хворосту та сучків</v>
      </c>
      <c r="J2" s="687"/>
    </row>
    <row r="3" spans="1:10">
      <c r="A3" s="684"/>
      <c r="B3" s="684"/>
      <c r="C3" s="684"/>
      <c r="D3" s="684"/>
      <c r="E3" s="689"/>
      <c r="F3" s="689"/>
      <c r="G3" s="689"/>
      <c r="H3" s="689"/>
      <c r="I3" s="689"/>
      <c r="J3" s="687"/>
    </row>
    <row r="4" spans="1:10">
      <c r="A4" s="684"/>
      <c r="B4" s="684"/>
      <c r="C4" s="684"/>
      <c r="D4" s="684"/>
      <c r="E4" s="689"/>
      <c r="F4" s="689"/>
      <c r="G4" s="689"/>
      <c r="H4" s="689"/>
      <c r="I4" s="689"/>
      <c r="J4" s="687"/>
    </row>
    <row r="5" spans="1:10" ht="90.75" customHeight="1">
      <c r="A5" s="684"/>
      <c r="B5" s="684"/>
      <c r="C5" s="684"/>
      <c r="D5" s="684"/>
      <c r="E5" s="689"/>
      <c r="F5" s="689"/>
      <c r="G5" s="689"/>
      <c r="H5" s="689"/>
      <c r="I5" s="689"/>
      <c r="J5" s="688"/>
    </row>
    <row r="6" spans="1:10">
      <c r="A6" s="493">
        <f>fКвартал</f>
        <v>16</v>
      </c>
      <c r="B6" s="493" t="str">
        <f>fВидел &amp; "_" &amp;fДілянка</f>
        <v>5_0</v>
      </c>
      <c r="C6" s="493">
        <f>fПлощадь</f>
        <v>0.4</v>
      </c>
      <c r="D6" s="493"/>
      <c r="E6" s="493">
        <f>fДілової</f>
        <v>46</v>
      </c>
      <c r="F6" s="493">
        <f>fДровяної</f>
        <v>94</v>
      </c>
      <c r="G6" s="493">
        <f>IF(fВидШаблона="Молодняки",0,fВсього__ліквідної_деревини)</f>
        <v>140</v>
      </c>
      <c r="H6" s="493">
        <v>0</v>
      </c>
      <c r="I6" s="493">
        <v>0</v>
      </c>
      <c r="J6" s="493">
        <f>IF(fВидШаблона="Молодняки","",fРазомПоЛК)</f>
        <v>148</v>
      </c>
    </row>
  </sheetData>
  <mergeCells count="11">
    <mergeCell ref="J1:J5"/>
    <mergeCell ref="E2:E5"/>
    <mergeCell ref="F2:F5"/>
    <mergeCell ref="G2:G5"/>
    <mergeCell ref="H2:H5"/>
    <mergeCell ref="I2:I5"/>
    <mergeCell ref="A1:A5"/>
    <mergeCell ref="B1:B5"/>
    <mergeCell ref="C1:C5"/>
    <mergeCell ref="D1:D5"/>
    <mergeCell ref="E1:I1"/>
  </mergeCells>
  <pageMargins left="0.7" right="0.7" top="0.75" bottom="0.75" header="0.3" footer="0.3"/>
  <pageSetup paperSize="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J16"/>
  <sheetViews>
    <sheetView workbookViewId="0">
      <selection activeCell="J20" sqref="J20"/>
    </sheetView>
  </sheetViews>
  <sheetFormatPr defaultColWidth="8.85546875" defaultRowHeight="15"/>
  <cols>
    <col min="1" max="1" width="24.5703125" style="340" bestFit="1" customWidth="1"/>
    <col min="2" max="2" width="14.5703125" style="340" customWidth="1"/>
    <col min="3" max="3" width="7.7109375" style="340" customWidth="1"/>
    <col min="4" max="4" width="12" style="340" customWidth="1"/>
    <col min="5" max="5" width="7.28515625" style="340" customWidth="1"/>
    <col min="6" max="6" width="10.42578125" style="340" customWidth="1"/>
    <col min="7" max="7" width="10.28515625" style="340" customWidth="1"/>
    <col min="8" max="9" width="8.85546875" style="340"/>
    <col min="10" max="10" width="41.7109375" style="340" bestFit="1" customWidth="1"/>
    <col min="11" max="16384" width="8.85546875" style="340"/>
  </cols>
  <sheetData>
    <row r="1" spans="1:10" ht="45.75" thickBot="1">
      <c r="A1" s="347" t="s">
        <v>378</v>
      </c>
      <c r="B1" s="346" t="s">
        <v>379</v>
      </c>
      <c r="C1" s="346" t="s">
        <v>1653</v>
      </c>
      <c r="D1" s="346" t="s">
        <v>1652</v>
      </c>
      <c r="E1" s="346" t="s">
        <v>380</v>
      </c>
      <c r="F1" s="345" t="s">
        <v>1651</v>
      </c>
      <c r="G1" s="345" t="s">
        <v>1650</v>
      </c>
      <c r="H1" s="345" t="s">
        <v>1649</v>
      </c>
      <c r="I1" s="345" t="s">
        <v>388</v>
      </c>
      <c r="J1" s="344"/>
    </row>
    <row r="2" spans="1:10">
      <c r="A2" s="494" t="s">
        <v>1648</v>
      </c>
      <c r="B2" s="495" t="s">
        <v>383</v>
      </c>
      <c r="C2" s="495">
        <v>13</v>
      </c>
      <c r="D2" s="495" t="s">
        <v>1647</v>
      </c>
      <c r="E2" s="496" t="s">
        <v>1647</v>
      </c>
      <c r="F2" s="497">
        <v>281</v>
      </c>
      <c r="G2" s="498">
        <v>144.83000000000001</v>
      </c>
      <c r="H2" s="498">
        <v>10</v>
      </c>
      <c r="I2" s="498">
        <f t="shared" ref="I2:I9" si="0">G2*H2</f>
        <v>1448.3000000000002</v>
      </c>
      <c r="J2" s="343"/>
    </row>
    <row r="3" spans="1:10">
      <c r="A3" s="499" t="s">
        <v>1648</v>
      </c>
      <c r="B3" s="498" t="s">
        <v>385</v>
      </c>
      <c r="C3" s="498">
        <v>13</v>
      </c>
      <c r="D3" s="498" t="s">
        <v>1647</v>
      </c>
      <c r="E3" s="500" t="s">
        <v>1647</v>
      </c>
      <c r="F3" s="497">
        <v>27</v>
      </c>
      <c r="G3" s="498">
        <v>7.42</v>
      </c>
      <c r="H3" s="498"/>
      <c r="I3" s="498">
        <f t="shared" si="0"/>
        <v>0</v>
      </c>
      <c r="J3" s="343"/>
    </row>
    <row r="4" spans="1:10">
      <c r="A4" s="499" t="s">
        <v>382</v>
      </c>
      <c r="B4" s="498" t="s">
        <v>383</v>
      </c>
      <c r="C4" s="498"/>
      <c r="D4" s="498">
        <v>1</v>
      </c>
      <c r="E4" s="500"/>
      <c r="F4" s="497"/>
      <c r="G4" s="498"/>
      <c r="H4" s="498"/>
      <c r="I4" s="498">
        <f t="shared" si="0"/>
        <v>0</v>
      </c>
      <c r="J4" s="343" t="s">
        <v>1646</v>
      </c>
    </row>
    <row r="5" spans="1:10">
      <c r="A5" s="499" t="s">
        <v>382</v>
      </c>
      <c r="B5" s="498" t="s">
        <v>383</v>
      </c>
      <c r="C5" s="498"/>
      <c r="D5" s="498">
        <v>2</v>
      </c>
      <c r="E5" s="500"/>
      <c r="F5" s="497"/>
      <c r="G5" s="498"/>
      <c r="H5" s="498"/>
      <c r="I5" s="498">
        <f t="shared" si="0"/>
        <v>0</v>
      </c>
      <c r="J5" s="343" t="s">
        <v>1645</v>
      </c>
    </row>
    <row r="6" spans="1:10">
      <c r="A6" s="499" t="s">
        <v>382</v>
      </c>
      <c r="B6" s="498" t="s">
        <v>383</v>
      </c>
      <c r="C6" s="498"/>
      <c r="D6" s="498">
        <v>3</v>
      </c>
      <c r="E6" s="500"/>
      <c r="F6" s="497"/>
      <c r="G6" s="498"/>
      <c r="H6" s="498"/>
      <c r="I6" s="498">
        <f t="shared" si="0"/>
        <v>0</v>
      </c>
      <c r="J6" s="343" t="s">
        <v>1644</v>
      </c>
    </row>
    <row r="7" spans="1:10">
      <c r="A7" s="499" t="s">
        <v>382</v>
      </c>
      <c r="B7" s="498" t="s">
        <v>385</v>
      </c>
      <c r="C7" s="498"/>
      <c r="D7" s="498">
        <v>1</v>
      </c>
      <c r="E7" s="500"/>
      <c r="F7" s="497"/>
      <c r="G7" s="498"/>
      <c r="H7" s="498"/>
      <c r="I7" s="498">
        <f t="shared" si="0"/>
        <v>0</v>
      </c>
      <c r="J7" s="343" t="s">
        <v>1643</v>
      </c>
    </row>
    <row r="8" spans="1:10">
      <c r="A8" s="499" t="s">
        <v>382</v>
      </c>
      <c r="B8" s="498" t="s">
        <v>385</v>
      </c>
      <c r="C8" s="498"/>
      <c r="D8" s="498">
        <v>2</v>
      </c>
      <c r="E8" s="500"/>
      <c r="F8" s="497"/>
      <c r="G8" s="498"/>
      <c r="H8" s="498"/>
      <c r="I8" s="498">
        <f t="shared" si="0"/>
        <v>0</v>
      </c>
      <c r="J8" s="343" t="s">
        <v>1642</v>
      </c>
    </row>
    <row r="9" spans="1:10">
      <c r="A9" s="499" t="s">
        <v>382</v>
      </c>
      <c r="B9" s="498" t="s">
        <v>385</v>
      </c>
      <c r="C9" s="498"/>
      <c r="D9" s="498">
        <v>3</v>
      </c>
      <c r="E9" s="500"/>
      <c r="F9" s="497"/>
      <c r="G9" s="498"/>
      <c r="H9" s="498"/>
      <c r="I9" s="498">
        <f t="shared" si="0"/>
        <v>0</v>
      </c>
      <c r="J9" s="343" t="s">
        <v>1641</v>
      </c>
    </row>
    <row r="10" spans="1:10">
      <c r="A10" s="499" t="s">
        <v>1639</v>
      </c>
      <c r="B10" s="498"/>
      <c r="C10" s="498"/>
      <c r="D10" s="498"/>
      <c r="E10" s="500">
        <v>1</v>
      </c>
      <c r="F10" s="497"/>
      <c r="G10" s="498"/>
      <c r="H10" s="498"/>
      <c r="I10" s="498"/>
      <c r="J10" s="343" t="s">
        <v>1640</v>
      </c>
    </row>
    <row r="11" spans="1:10" ht="15.75" thickBot="1">
      <c r="A11" s="501" t="s">
        <v>1639</v>
      </c>
      <c r="B11" s="502"/>
      <c r="C11" s="502"/>
      <c r="D11" s="502"/>
      <c r="E11" s="503">
        <v>2</v>
      </c>
      <c r="F11" s="504"/>
      <c r="G11" s="502"/>
      <c r="H11" s="502"/>
      <c r="I11" s="502"/>
      <c r="J11" s="343" t="s">
        <v>1638</v>
      </c>
    </row>
    <row r="12" spans="1:10" ht="16.5" thickBot="1">
      <c r="A12" s="505" t="s">
        <v>1637</v>
      </c>
      <c r="B12" s="506"/>
      <c r="C12" s="506"/>
      <c r="D12" s="506"/>
      <c r="E12" s="507"/>
      <c r="F12" s="505"/>
      <c r="G12" s="508">
        <f>SUM(G2:G11)</f>
        <v>152.25</v>
      </c>
      <c r="H12" s="506"/>
      <c r="I12" s="509">
        <f>SUM(I2:I11)</f>
        <v>1448.3000000000002</v>
      </c>
      <c r="J12" s="342"/>
    </row>
    <row r="13" spans="1:10" ht="15.75" thickBot="1">
      <c r="A13" s="510" t="s">
        <v>1636</v>
      </c>
      <c r="B13" s="511"/>
      <c r="C13" s="511"/>
      <c r="D13" s="511"/>
      <c r="E13" s="512"/>
      <c r="F13" s="513"/>
      <c r="G13" s="511"/>
      <c r="H13" s="511"/>
      <c r="I13" s="512"/>
      <c r="J13" s="342" t="s">
        <v>1636</v>
      </c>
    </row>
    <row r="14" spans="1:10" ht="16.5" thickBot="1">
      <c r="A14" s="514" t="s">
        <v>1635</v>
      </c>
      <c r="B14" s="515"/>
      <c r="C14" s="515"/>
      <c r="D14" s="515"/>
      <c r="E14" s="516"/>
      <c r="F14" s="517"/>
      <c r="G14" s="518">
        <f>$G$12+$G$13</f>
        <v>152.25</v>
      </c>
      <c r="H14" s="515"/>
      <c r="I14" s="519">
        <f>$I$12+$I$13</f>
        <v>1448.3000000000002</v>
      </c>
      <c r="J14" s="342"/>
    </row>
    <row r="15" spans="1:10" ht="16.5" thickBot="1">
      <c r="A15" s="514" t="s">
        <v>1634</v>
      </c>
      <c r="B15" s="515"/>
      <c r="C15" s="515"/>
      <c r="D15" s="515"/>
      <c r="E15" s="516"/>
      <c r="F15" s="517"/>
      <c r="G15" s="515"/>
      <c r="H15" s="520">
        <v>0.2</v>
      </c>
      <c r="I15" s="521">
        <f>$H$15*$I$14</f>
        <v>289.66000000000003</v>
      </c>
      <c r="J15" s="342"/>
    </row>
    <row r="16" spans="1:10" ht="16.5" thickBot="1">
      <c r="A16" s="505" t="s">
        <v>1633</v>
      </c>
      <c r="B16" s="506"/>
      <c r="C16" s="506"/>
      <c r="D16" s="506"/>
      <c r="E16" s="507"/>
      <c r="F16" s="505"/>
      <c r="G16" s="508">
        <f>$G$14+$G$15</f>
        <v>152.25</v>
      </c>
      <c r="H16" s="506"/>
      <c r="I16" s="509">
        <f>$I$14+$I$15</f>
        <v>1737.9600000000003</v>
      </c>
      <c r="J16" s="341"/>
    </row>
  </sheetData>
  <autoFilter ref="A1:K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1:AI34"/>
  <sheetViews>
    <sheetView zoomScaleNormal="100" workbookViewId="0">
      <selection activeCell="H33" sqref="H33"/>
    </sheetView>
  </sheetViews>
  <sheetFormatPr defaultRowHeight="12.75"/>
  <cols>
    <col min="1" max="1" width="11.28515625" style="484" customWidth="1"/>
    <col min="2" max="2" width="16.28515625" style="484" customWidth="1"/>
    <col min="3" max="3" width="16.85546875" style="484" customWidth="1"/>
    <col min="4" max="6" width="13.85546875" style="484" customWidth="1"/>
    <col min="7" max="7" width="9.5703125" style="484" customWidth="1"/>
    <col min="8" max="8" width="10.42578125" style="484" customWidth="1"/>
    <col min="9" max="9" width="11.5703125" style="484" customWidth="1"/>
    <col min="10" max="10" width="14.140625" style="484" customWidth="1"/>
    <col min="11" max="11" width="9.140625" style="484"/>
    <col min="12" max="13" width="11.42578125" style="484" customWidth="1"/>
    <col min="14" max="16384" width="9.140625" style="484"/>
  </cols>
  <sheetData>
    <row r="1" spans="1:35" s="641" customFormat="1" ht="60" customHeight="1">
      <c r="A1" s="637" t="s">
        <v>379</v>
      </c>
      <c r="B1" s="638" t="s">
        <v>1955</v>
      </c>
      <c r="C1" s="638" t="s">
        <v>1956</v>
      </c>
      <c r="D1" s="639" t="s">
        <v>1957</v>
      </c>
      <c r="E1" s="639" t="s">
        <v>1958</v>
      </c>
      <c r="F1" s="639" t="s">
        <v>1959</v>
      </c>
      <c r="G1" s="639" t="s">
        <v>1960</v>
      </c>
      <c r="H1" s="639" t="s">
        <v>1529</v>
      </c>
      <c r="I1" s="639" t="s">
        <v>1622</v>
      </c>
      <c r="J1" s="639" t="s">
        <v>1961</v>
      </c>
      <c r="K1" s="639" t="s">
        <v>1348</v>
      </c>
      <c r="L1" s="638" t="s">
        <v>1962</v>
      </c>
      <c r="M1" s="640" t="s">
        <v>1963</v>
      </c>
    </row>
    <row r="2" spans="1:35">
      <c r="A2" s="480" t="s">
        <v>1431</v>
      </c>
      <c r="B2" s="642">
        <v>0</v>
      </c>
      <c r="C2" s="642">
        <v>0</v>
      </c>
      <c r="D2" s="480">
        <v>0</v>
      </c>
      <c r="E2" s="480">
        <v>0</v>
      </c>
      <c r="F2" s="480">
        <v>0</v>
      </c>
      <c r="G2" s="480">
        <v>0</v>
      </c>
      <c r="H2" s="480">
        <v>0</v>
      </c>
      <c r="I2" s="480">
        <v>0</v>
      </c>
      <c r="J2" s="480">
        <v>0</v>
      </c>
      <c r="K2" s="480">
        <v>0</v>
      </c>
      <c r="L2" s="480">
        <v>0</v>
      </c>
      <c r="M2" s="481">
        <v>0</v>
      </c>
    </row>
    <row r="3" spans="1:35">
      <c r="A3" s="480" t="s">
        <v>1430</v>
      </c>
      <c r="B3" s="642">
        <v>0</v>
      </c>
      <c r="C3" s="642">
        <v>0</v>
      </c>
      <c r="D3" s="480">
        <v>0</v>
      </c>
      <c r="E3" s="480">
        <v>0</v>
      </c>
      <c r="F3" s="480">
        <v>1</v>
      </c>
      <c r="G3" s="480">
        <v>0</v>
      </c>
      <c r="H3" s="480">
        <v>0</v>
      </c>
      <c r="I3" s="480">
        <v>0</v>
      </c>
      <c r="J3" s="480">
        <v>1</v>
      </c>
      <c r="K3" s="480">
        <v>1</v>
      </c>
      <c r="L3" s="480">
        <v>0</v>
      </c>
      <c r="M3" s="481">
        <v>0</v>
      </c>
    </row>
    <row r="4" spans="1:35">
      <c r="A4" s="480" t="s">
        <v>1450</v>
      </c>
      <c r="B4" s="642">
        <v>0</v>
      </c>
      <c r="C4" s="642">
        <v>4</v>
      </c>
      <c r="D4" s="480">
        <v>7</v>
      </c>
      <c r="E4" s="480">
        <v>12</v>
      </c>
      <c r="F4" s="480">
        <v>22</v>
      </c>
      <c r="G4" s="480">
        <v>0</v>
      </c>
      <c r="H4" s="480">
        <v>0</v>
      </c>
      <c r="I4" s="480">
        <v>0</v>
      </c>
      <c r="J4" s="480">
        <v>42</v>
      </c>
      <c r="K4" s="480">
        <v>28</v>
      </c>
      <c r="L4" s="480">
        <v>0</v>
      </c>
      <c r="M4" s="481">
        <v>0</v>
      </c>
    </row>
    <row r="5" spans="1:35">
      <c r="A5" s="480" t="s">
        <v>1451</v>
      </c>
      <c r="B5" s="642">
        <v>0</v>
      </c>
      <c r="C5" s="642">
        <v>0</v>
      </c>
      <c r="D5" s="480">
        <v>0</v>
      </c>
      <c r="E5" s="480">
        <v>0</v>
      </c>
      <c r="F5" s="480">
        <v>0</v>
      </c>
      <c r="G5" s="480">
        <v>0</v>
      </c>
      <c r="H5" s="480">
        <v>0</v>
      </c>
      <c r="I5" s="480">
        <v>0</v>
      </c>
      <c r="J5" s="480">
        <v>0</v>
      </c>
      <c r="K5" s="480">
        <v>0</v>
      </c>
      <c r="L5" s="480">
        <v>0</v>
      </c>
      <c r="M5" s="481">
        <v>0</v>
      </c>
    </row>
    <row r="6" spans="1:35">
      <c r="A6" s="480" t="s">
        <v>1452</v>
      </c>
      <c r="B6" s="642">
        <v>0</v>
      </c>
      <c r="C6" s="642">
        <v>0</v>
      </c>
      <c r="D6" s="480">
        <v>0</v>
      </c>
      <c r="E6" s="480">
        <v>0</v>
      </c>
      <c r="F6" s="480">
        <v>0</v>
      </c>
      <c r="G6" s="480">
        <v>0</v>
      </c>
      <c r="H6" s="480">
        <v>0</v>
      </c>
      <c r="I6" s="480">
        <v>0</v>
      </c>
      <c r="J6" s="480">
        <v>0</v>
      </c>
      <c r="K6" s="480">
        <v>0</v>
      </c>
      <c r="L6" s="480">
        <v>0</v>
      </c>
      <c r="M6" s="481">
        <v>0</v>
      </c>
    </row>
    <row r="7" spans="1:35">
      <c r="A7" s="480" t="s">
        <v>1453</v>
      </c>
      <c r="B7" s="642">
        <v>0</v>
      </c>
      <c r="C7" s="642">
        <v>0</v>
      </c>
      <c r="D7" s="480">
        <v>0</v>
      </c>
      <c r="E7" s="480">
        <v>0</v>
      </c>
      <c r="F7" s="480">
        <v>0</v>
      </c>
      <c r="G7" s="480">
        <v>0</v>
      </c>
      <c r="H7" s="480">
        <v>0</v>
      </c>
      <c r="I7" s="480">
        <v>0</v>
      </c>
      <c r="J7" s="480">
        <v>0</v>
      </c>
      <c r="K7" s="480">
        <v>0</v>
      </c>
      <c r="L7" s="480">
        <v>0</v>
      </c>
      <c r="M7" s="481">
        <v>0</v>
      </c>
    </row>
    <row r="8" spans="1:35">
      <c r="A8" s="480" t="s">
        <v>1454</v>
      </c>
      <c r="B8" s="642">
        <v>0</v>
      </c>
      <c r="C8" s="642">
        <v>0</v>
      </c>
      <c r="D8" s="480">
        <v>0</v>
      </c>
      <c r="E8" s="480">
        <v>0</v>
      </c>
      <c r="F8" s="480">
        <v>0</v>
      </c>
      <c r="G8" s="480">
        <v>0</v>
      </c>
      <c r="H8" s="480">
        <v>0</v>
      </c>
      <c r="I8" s="480">
        <v>0</v>
      </c>
      <c r="J8" s="480">
        <v>0</v>
      </c>
      <c r="K8" s="480">
        <v>0</v>
      </c>
      <c r="L8" s="480">
        <v>0</v>
      </c>
      <c r="M8" s="481">
        <v>0</v>
      </c>
      <c r="W8" s="484" t="s">
        <v>1431</v>
      </c>
      <c r="X8" s="484">
        <v>0</v>
      </c>
      <c r="Y8" s="484">
        <v>0</v>
      </c>
      <c r="Z8" s="484">
        <v>0</v>
      </c>
      <c r="AA8" s="484">
        <v>0</v>
      </c>
      <c r="AB8" s="484">
        <v>0</v>
      </c>
      <c r="AC8" s="484">
        <v>0</v>
      </c>
      <c r="AD8" s="484">
        <v>0</v>
      </c>
      <c r="AE8" s="484">
        <v>0</v>
      </c>
      <c r="AF8" s="484">
        <v>0</v>
      </c>
      <c r="AG8" s="484">
        <v>0</v>
      </c>
      <c r="AH8" s="484">
        <v>0</v>
      </c>
      <c r="AI8" s="484">
        <v>0</v>
      </c>
    </row>
    <row r="9" spans="1:35">
      <c r="A9" s="480" t="s">
        <v>1455</v>
      </c>
      <c r="B9" s="642">
        <v>0</v>
      </c>
      <c r="C9" s="642">
        <v>0</v>
      </c>
      <c r="D9" s="480">
        <v>0</v>
      </c>
      <c r="E9" s="480">
        <v>0</v>
      </c>
      <c r="F9" s="480">
        <v>0</v>
      </c>
      <c r="G9" s="480">
        <v>0</v>
      </c>
      <c r="H9" s="480">
        <v>0</v>
      </c>
      <c r="I9" s="480">
        <v>0</v>
      </c>
      <c r="J9" s="480">
        <v>0</v>
      </c>
      <c r="K9" s="480">
        <v>0</v>
      </c>
      <c r="L9" s="480">
        <v>0</v>
      </c>
      <c r="M9" s="481">
        <v>0</v>
      </c>
      <c r="W9" s="484" t="s">
        <v>1430</v>
      </c>
      <c r="X9" s="484">
        <v>0</v>
      </c>
      <c r="Y9" s="484">
        <v>0</v>
      </c>
      <c r="Z9" s="484">
        <v>0</v>
      </c>
      <c r="AA9" s="484">
        <v>0</v>
      </c>
      <c r="AB9" s="484">
        <v>1</v>
      </c>
      <c r="AC9" s="484">
        <v>0</v>
      </c>
      <c r="AD9" s="484">
        <v>0</v>
      </c>
      <c r="AE9" s="484">
        <v>0</v>
      </c>
      <c r="AF9" s="484">
        <v>18</v>
      </c>
      <c r="AG9" s="484">
        <v>12</v>
      </c>
      <c r="AH9" s="484">
        <v>18</v>
      </c>
      <c r="AI9" s="484">
        <v>0</v>
      </c>
    </row>
    <row r="10" spans="1:35">
      <c r="A10" s="480" t="s">
        <v>1456</v>
      </c>
      <c r="B10" s="642">
        <v>0</v>
      </c>
      <c r="C10" s="642">
        <v>0</v>
      </c>
      <c r="D10" s="480">
        <v>0</v>
      </c>
      <c r="E10" s="480">
        <v>0</v>
      </c>
      <c r="F10" s="480">
        <v>0</v>
      </c>
      <c r="G10" s="480">
        <v>0</v>
      </c>
      <c r="H10" s="480">
        <v>0</v>
      </c>
      <c r="I10" s="480">
        <v>0</v>
      </c>
      <c r="J10" s="480">
        <v>2</v>
      </c>
      <c r="K10" s="480">
        <v>2</v>
      </c>
      <c r="L10" s="480">
        <v>0</v>
      </c>
      <c r="M10" s="481">
        <v>0</v>
      </c>
      <c r="W10" s="484" t="s">
        <v>1450</v>
      </c>
      <c r="X10" s="484">
        <v>0</v>
      </c>
      <c r="Y10" s="484">
        <v>0</v>
      </c>
      <c r="Z10" s="484">
        <v>0</v>
      </c>
      <c r="AA10" s="484">
        <v>0</v>
      </c>
      <c r="AB10" s="484">
        <v>0</v>
      </c>
      <c r="AC10" s="484">
        <v>0</v>
      </c>
      <c r="AD10" s="484">
        <v>0</v>
      </c>
      <c r="AE10" s="484">
        <v>0</v>
      </c>
      <c r="AF10" s="484">
        <v>0</v>
      </c>
      <c r="AG10" s="484">
        <v>0</v>
      </c>
      <c r="AH10" s="484">
        <v>0</v>
      </c>
      <c r="AI10" s="484">
        <v>0</v>
      </c>
    </row>
    <row r="11" spans="1:35">
      <c r="A11" s="480" t="s">
        <v>1457</v>
      </c>
      <c r="B11" s="642">
        <v>0</v>
      </c>
      <c r="C11" s="642">
        <v>0</v>
      </c>
      <c r="D11" s="480">
        <v>0</v>
      </c>
      <c r="E11" s="480">
        <v>0</v>
      </c>
      <c r="F11" s="480">
        <v>0</v>
      </c>
      <c r="G11" s="480">
        <v>0</v>
      </c>
      <c r="H11" s="480">
        <v>0</v>
      </c>
      <c r="I11" s="480">
        <v>0</v>
      </c>
      <c r="J11" s="480">
        <v>0</v>
      </c>
      <c r="K11" s="480">
        <v>0</v>
      </c>
      <c r="L11" s="480">
        <v>0</v>
      </c>
      <c r="M11" s="481">
        <v>0</v>
      </c>
      <c r="W11" s="484" t="s">
        <v>1451</v>
      </c>
      <c r="X11" s="484">
        <v>0</v>
      </c>
      <c r="Y11" s="484">
        <v>0</v>
      </c>
      <c r="Z11" s="484">
        <v>0</v>
      </c>
      <c r="AA11" s="484">
        <v>0</v>
      </c>
      <c r="AB11" s="484">
        <v>0</v>
      </c>
      <c r="AC11" s="484">
        <v>0</v>
      </c>
      <c r="AD11" s="484">
        <v>0</v>
      </c>
      <c r="AE11" s="484">
        <v>0</v>
      </c>
      <c r="AF11" s="484">
        <v>8</v>
      </c>
      <c r="AG11" s="484">
        <v>7</v>
      </c>
      <c r="AH11" s="484">
        <v>8</v>
      </c>
      <c r="AI11" s="484">
        <v>0</v>
      </c>
    </row>
    <row r="12" spans="1:35">
      <c r="A12" s="480" t="s">
        <v>1458</v>
      </c>
      <c r="B12" s="642">
        <v>0</v>
      </c>
      <c r="C12" s="642">
        <v>0</v>
      </c>
      <c r="D12" s="480">
        <v>0</v>
      </c>
      <c r="E12" s="480">
        <v>0</v>
      </c>
      <c r="F12" s="480">
        <v>0</v>
      </c>
      <c r="G12" s="480">
        <v>0</v>
      </c>
      <c r="H12" s="480">
        <v>0</v>
      </c>
      <c r="I12" s="480">
        <v>0</v>
      </c>
      <c r="J12" s="480">
        <v>0</v>
      </c>
      <c r="K12" s="480">
        <v>0</v>
      </c>
      <c r="L12" s="480">
        <v>0</v>
      </c>
      <c r="M12" s="481">
        <v>0</v>
      </c>
      <c r="W12" s="484" t="s">
        <v>1452</v>
      </c>
      <c r="X12" s="484">
        <v>0</v>
      </c>
      <c r="Y12" s="484">
        <v>0</v>
      </c>
      <c r="Z12" s="484">
        <v>0</v>
      </c>
      <c r="AA12" s="484">
        <v>0</v>
      </c>
      <c r="AB12" s="484">
        <v>0</v>
      </c>
      <c r="AC12" s="484">
        <v>0</v>
      </c>
      <c r="AD12" s="484">
        <v>0</v>
      </c>
      <c r="AE12" s="484">
        <v>0</v>
      </c>
      <c r="AF12" s="484">
        <v>0</v>
      </c>
      <c r="AG12" s="484">
        <v>0</v>
      </c>
      <c r="AH12" s="484">
        <v>0</v>
      </c>
      <c r="AI12" s="484">
        <v>0</v>
      </c>
    </row>
    <row r="13" spans="1:35">
      <c r="A13" s="480" t="s">
        <v>1459</v>
      </c>
      <c r="B13" s="642">
        <v>0</v>
      </c>
      <c r="C13" s="642">
        <v>0</v>
      </c>
      <c r="D13" s="480">
        <v>0</v>
      </c>
      <c r="E13" s="480">
        <v>0</v>
      </c>
      <c r="F13" s="480">
        <v>0</v>
      </c>
      <c r="G13" s="480">
        <v>0</v>
      </c>
      <c r="H13" s="480">
        <v>0</v>
      </c>
      <c r="I13" s="480">
        <v>0</v>
      </c>
      <c r="J13" s="480">
        <v>0</v>
      </c>
      <c r="K13" s="480">
        <v>0</v>
      </c>
      <c r="L13" s="480">
        <v>0</v>
      </c>
      <c r="M13" s="481">
        <v>0</v>
      </c>
      <c r="W13" s="484" t="s">
        <v>1453</v>
      </c>
      <c r="X13" s="484">
        <v>0</v>
      </c>
      <c r="Y13" s="484">
        <v>0</v>
      </c>
      <c r="Z13" s="484">
        <v>0</v>
      </c>
      <c r="AA13" s="484">
        <v>0</v>
      </c>
      <c r="AB13" s="484">
        <v>0</v>
      </c>
      <c r="AC13" s="484">
        <v>0</v>
      </c>
      <c r="AD13" s="484">
        <v>0</v>
      </c>
      <c r="AE13" s="484">
        <v>0</v>
      </c>
      <c r="AF13" s="484">
        <v>35</v>
      </c>
      <c r="AG13" s="484">
        <v>79</v>
      </c>
      <c r="AH13" s="484">
        <v>35</v>
      </c>
      <c r="AI13" s="484">
        <v>0</v>
      </c>
    </row>
    <row r="14" spans="1:35">
      <c r="A14" s="480" t="s">
        <v>1460</v>
      </c>
      <c r="B14" s="642">
        <v>0</v>
      </c>
      <c r="C14" s="642">
        <v>0</v>
      </c>
      <c r="D14" s="480">
        <v>0</v>
      </c>
      <c r="E14" s="480">
        <v>0</v>
      </c>
      <c r="F14" s="480">
        <v>0</v>
      </c>
      <c r="G14" s="480">
        <v>0</v>
      </c>
      <c r="H14" s="480">
        <v>0</v>
      </c>
      <c r="I14" s="480">
        <v>0</v>
      </c>
      <c r="J14" s="480">
        <v>12</v>
      </c>
      <c r="K14" s="480">
        <v>4</v>
      </c>
      <c r="L14" s="480">
        <v>0</v>
      </c>
      <c r="M14" s="481">
        <v>0</v>
      </c>
      <c r="W14" s="484" t="s">
        <v>1454</v>
      </c>
      <c r="X14" s="484">
        <v>0</v>
      </c>
      <c r="Y14" s="484">
        <v>0</v>
      </c>
      <c r="Z14" s="484">
        <v>0</v>
      </c>
      <c r="AA14" s="484">
        <v>0</v>
      </c>
      <c r="AB14" s="484">
        <v>0</v>
      </c>
      <c r="AC14" s="484">
        <v>0</v>
      </c>
      <c r="AD14" s="484">
        <v>0</v>
      </c>
      <c r="AE14" s="484">
        <v>0</v>
      </c>
      <c r="AF14" s="484">
        <v>0</v>
      </c>
      <c r="AG14" s="484">
        <v>0</v>
      </c>
      <c r="AH14" s="484">
        <v>0</v>
      </c>
      <c r="AI14" s="484">
        <v>0</v>
      </c>
    </row>
    <row r="15" spans="1:35">
      <c r="A15" s="480" t="s">
        <v>1461</v>
      </c>
      <c r="B15" s="642">
        <v>0</v>
      </c>
      <c r="C15" s="642">
        <v>0</v>
      </c>
      <c r="D15" s="480">
        <v>0</v>
      </c>
      <c r="E15" s="480">
        <v>0</v>
      </c>
      <c r="F15" s="480">
        <v>0</v>
      </c>
      <c r="G15" s="480">
        <v>0</v>
      </c>
      <c r="H15" s="480">
        <v>0</v>
      </c>
      <c r="I15" s="480">
        <v>0</v>
      </c>
      <c r="J15" s="480">
        <v>0</v>
      </c>
      <c r="K15" s="480">
        <v>0</v>
      </c>
      <c r="L15" s="480">
        <v>0</v>
      </c>
      <c r="M15" s="481">
        <v>0</v>
      </c>
      <c r="W15" s="484" t="s">
        <v>1455</v>
      </c>
      <c r="X15" s="484">
        <v>0</v>
      </c>
      <c r="Y15" s="484">
        <v>0</v>
      </c>
      <c r="Z15" s="484">
        <v>0</v>
      </c>
      <c r="AA15" s="484">
        <v>0</v>
      </c>
      <c r="AB15" s="484">
        <v>0</v>
      </c>
      <c r="AC15" s="484">
        <v>0</v>
      </c>
      <c r="AD15" s="484">
        <v>0</v>
      </c>
      <c r="AE15" s="484">
        <v>0</v>
      </c>
      <c r="AF15" s="484">
        <v>0</v>
      </c>
      <c r="AG15" s="484">
        <v>0</v>
      </c>
      <c r="AH15" s="484">
        <v>0</v>
      </c>
      <c r="AI15" s="484">
        <v>0</v>
      </c>
    </row>
    <row r="16" spans="1:35">
      <c r="A16" s="480" t="s">
        <v>1462</v>
      </c>
      <c r="B16" s="643">
        <v>0</v>
      </c>
      <c r="C16" s="643">
        <v>0</v>
      </c>
      <c r="D16" s="482">
        <v>0</v>
      </c>
      <c r="E16" s="482">
        <v>0</v>
      </c>
      <c r="F16" s="482">
        <v>0</v>
      </c>
      <c r="G16" s="482">
        <v>0</v>
      </c>
      <c r="H16" s="482">
        <v>0</v>
      </c>
      <c r="I16" s="482">
        <v>0</v>
      </c>
      <c r="J16" s="482">
        <v>1</v>
      </c>
      <c r="K16" s="482">
        <v>1</v>
      </c>
      <c r="L16" s="482">
        <v>0</v>
      </c>
      <c r="M16" s="483">
        <v>0</v>
      </c>
      <c r="W16" s="484" t="s">
        <v>1456</v>
      </c>
      <c r="X16" s="484">
        <v>0</v>
      </c>
      <c r="Y16" s="484">
        <v>0</v>
      </c>
      <c r="Z16" s="484">
        <v>0</v>
      </c>
      <c r="AA16" s="484">
        <v>0</v>
      </c>
      <c r="AB16" s="484">
        <v>0</v>
      </c>
      <c r="AC16" s="484">
        <v>0</v>
      </c>
      <c r="AD16" s="484">
        <v>0</v>
      </c>
      <c r="AE16" s="484">
        <v>0</v>
      </c>
      <c r="AF16" s="484">
        <v>0</v>
      </c>
      <c r="AG16" s="484">
        <v>0</v>
      </c>
      <c r="AH16" s="484">
        <v>0</v>
      </c>
      <c r="AI16" s="484">
        <v>0</v>
      </c>
    </row>
    <row r="17" spans="23:35">
      <c r="W17" s="484" t="s">
        <v>1457</v>
      </c>
      <c r="X17" s="484">
        <v>0</v>
      </c>
      <c r="Y17" s="484">
        <v>0</v>
      </c>
      <c r="Z17" s="484">
        <v>0</v>
      </c>
      <c r="AA17" s="484">
        <v>0</v>
      </c>
      <c r="AB17" s="484">
        <v>0</v>
      </c>
      <c r="AC17" s="484">
        <v>0</v>
      </c>
      <c r="AD17" s="484">
        <v>0</v>
      </c>
      <c r="AE17" s="484">
        <v>0</v>
      </c>
      <c r="AF17" s="484">
        <v>0</v>
      </c>
      <c r="AG17" s="484">
        <v>0</v>
      </c>
      <c r="AH17" s="484">
        <v>0</v>
      </c>
      <c r="AI17" s="484">
        <v>0</v>
      </c>
    </row>
    <row r="18" spans="23:35">
      <c r="W18" s="484" t="s">
        <v>1458</v>
      </c>
      <c r="X18" s="484">
        <v>0</v>
      </c>
      <c r="Y18" s="484">
        <v>0</v>
      </c>
      <c r="Z18" s="484">
        <v>0</v>
      </c>
      <c r="AA18" s="484">
        <v>0</v>
      </c>
      <c r="AB18" s="484">
        <v>0</v>
      </c>
      <c r="AC18" s="484">
        <v>0</v>
      </c>
      <c r="AD18" s="484">
        <v>0</v>
      </c>
      <c r="AE18" s="484">
        <v>0</v>
      </c>
      <c r="AF18" s="484">
        <v>0</v>
      </c>
      <c r="AG18" s="484">
        <v>0</v>
      </c>
      <c r="AH18" s="484">
        <v>0</v>
      </c>
      <c r="AI18" s="484">
        <v>0</v>
      </c>
    </row>
    <row r="19" spans="23:35">
      <c r="W19" s="484" t="s">
        <v>1459</v>
      </c>
      <c r="X19" s="484">
        <v>0</v>
      </c>
      <c r="Y19" s="484">
        <v>0</v>
      </c>
      <c r="Z19" s="484">
        <v>0</v>
      </c>
      <c r="AA19" s="484">
        <v>0</v>
      </c>
      <c r="AB19" s="484">
        <v>0</v>
      </c>
      <c r="AC19" s="484">
        <v>0</v>
      </c>
      <c r="AD19" s="484">
        <v>0</v>
      </c>
      <c r="AE19" s="484">
        <v>0</v>
      </c>
      <c r="AF19" s="484">
        <v>0</v>
      </c>
      <c r="AG19" s="484">
        <v>0</v>
      </c>
      <c r="AH19" s="484">
        <v>0</v>
      </c>
      <c r="AI19" s="484">
        <v>0</v>
      </c>
    </row>
    <row r="20" spans="23:35">
      <c r="W20" s="484" t="s">
        <v>1460</v>
      </c>
      <c r="X20" s="484">
        <v>0</v>
      </c>
      <c r="Y20" s="484">
        <v>0</v>
      </c>
      <c r="Z20" s="484">
        <v>0</v>
      </c>
      <c r="AA20" s="484">
        <v>0</v>
      </c>
      <c r="AB20" s="484">
        <v>0</v>
      </c>
      <c r="AC20" s="484">
        <v>0</v>
      </c>
      <c r="AD20" s="484">
        <v>0</v>
      </c>
      <c r="AE20" s="484">
        <v>0</v>
      </c>
      <c r="AF20" s="484">
        <v>0</v>
      </c>
      <c r="AG20" s="484">
        <v>0</v>
      </c>
      <c r="AH20" s="484">
        <v>0</v>
      </c>
      <c r="AI20" s="484">
        <v>0</v>
      </c>
    </row>
    <row r="21" spans="23:35">
      <c r="W21" s="484" t="s">
        <v>1461</v>
      </c>
      <c r="X21" s="484">
        <v>0</v>
      </c>
      <c r="Y21" s="484">
        <v>0</v>
      </c>
      <c r="Z21" s="484">
        <v>0</v>
      </c>
      <c r="AA21" s="484">
        <v>0</v>
      </c>
      <c r="AB21" s="484">
        <v>0</v>
      </c>
      <c r="AC21" s="484">
        <v>0</v>
      </c>
      <c r="AD21" s="484">
        <v>0</v>
      </c>
      <c r="AE21" s="484">
        <v>0</v>
      </c>
      <c r="AF21" s="484">
        <v>0</v>
      </c>
      <c r="AG21" s="484">
        <v>0</v>
      </c>
      <c r="AH21" s="484">
        <v>0</v>
      </c>
      <c r="AI21" s="484">
        <v>0</v>
      </c>
    </row>
    <row r="22" spans="23:35">
      <c r="W22" s="484" t="s">
        <v>1462</v>
      </c>
      <c r="X22" s="484">
        <v>0</v>
      </c>
      <c r="Y22" s="484">
        <v>0</v>
      </c>
      <c r="Z22" s="484">
        <v>0</v>
      </c>
      <c r="AA22" s="484">
        <v>0</v>
      </c>
      <c r="AB22" s="484">
        <v>0</v>
      </c>
      <c r="AC22" s="484">
        <v>0</v>
      </c>
      <c r="AD22" s="484">
        <v>0</v>
      </c>
      <c r="AE22" s="484">
        <v>0</v>
      </c>
      <c r="AF22" s="484">
        <v>0</v>
      </c>
      <c r="AG22" s="484">
        <v>0</v>
      </c>
      <c r="AH22" s="484">
        <v>0</v>
      </c>
      <c r="AI22" s="484">
        <v>0</v>
      </c>
    </row>
    <row r="34" ht="12.75" customHeight="1"/>
  </sheetData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L18"/>
  <sheetViews>
    <sheetView workbookViewId="0">
      <selection activeCell="B3" sqref="B3:L18"/>
    </sheetView>
  </sheetViews>
  <sheetFormatPr defaultRowHeight="15"/>
  <cols>
    <col min="1" max="1" width="10.28515625" customWidth="1"/>
    <col min="2" max="2" width="7.42578125" customWidth="1"/>
    <col min="3" max="3" width="6.28515625" customWidth="1"/>
    <col min="4" max="4" width="7.28515625" customWidth="1"/>
    <col min="5" max="5" width="6.42578125" customWidth="1"/>
    <col min="6" max="6" width="6.7109375" customWidth="1"/>
    <col min="7" max="7" width="7.140625" customWidth="1"/>
    <col min="8" max="9" width="8.28515625" customWidth="1"/>
    <col min="10" max="10" width="9.85546875" customWidth="1"/>
    <col min="11" max="11" width="7.140625" customWidth="1"/>
    <col min="12" max="12" width="10.42578125" customWidth="1"/>
  </cols>
  <sheetData>
    <row r="1" spans="1:12" s="190" customFormat="1" ht="48" customHeight="1" thickBot="1">
      <c r="A1" s="692" t="s">
        <v>379</v>
      </c>
      <c r="B1" s="694" t="s">
        <v>1345</v>
      </c>
      <c r="C1" s="695"/>
      <c r="D1" s="694" t="s">
        <v>381</v>
      </c>
      <c r="E1" s="696"/>
      <c r="F1" s="695"/>
      <c r="G1" s="690" t="s">
        <v>409</v>
      </c>
      <c r="H1" s="690" t="s">
        <v>1346</v>
      </c>
      <c r="I1" s="690" t="s">
        <v>1622</v>
      </c>
      <c r="J1" s="690" t="s">
        <v>1347</v>
      </c>
      <c r="K1" s="690" t="s">
        <v>1348</v>
      </c>
      <c r="L1" s="690" t="s">
        <v>1349</v>
      </c>
    </row>
    <row r="2" spans="1:12" s="190" customFormat="1" ht="19.5" customHeight="1" thickBot="1">
      <c r="A2" s="693"/>
      <c r="B2" s="309" t="s">
        <v>1350</v>
      </c>
      <c r="C2" s="309" t="s">
        <v>1351</v>
      </c>
      <c r="D2" s="309" t="s">
        <v>1350</v>
      </c>
      <c r="E2" s="309" t="s">
        <v>1351</v>
      </c>
      <c r="F2" s="310" t="s">
        <v>1352</v>
      </c>
      <c r="G2" s="691"/>
      <c r="H2" s="691"/>
      <c r="I2" s="697"/>
      <c r="J2" s="691"/>
      <c r="K2" s="691"/>
      <c r="L2" s="691"/>
    </row>
    <row r="3" spans="1:12" ht="19.5" customHeight="1" thickBot="1">
      <c r="A3" s="216" t="s">
        <v>1431</v>
      </c>
      <c r="B3" s="474">
        <f>IF(Расчет!B2="","",Расчет!B2)</f>
        <v>0</v>
      </c>
      <c r="C3" s="474" t="str">
        <f>IF(Расчет!C2=0,"",Расчет!C2)</f>
        <v/>
      </c>
      <c r="D3" s="474" t="str">
        <f>IF(Расчет!D2=0,"",Расчет!D2)</f>
        <v/>
      </c>
      <c r="E3" s="474" t="str">
        <f>IF(Расчет!E2=0,"",Расчет!E2)</f>
        <v/>
      </c>
      <c r="F3" s="474" t="str">
        <f>IF(Расчет!F2=0,"",Расчет!F2)</f>
        <v/>
      </c>
      <c r="G3" s="474" t="str">
        <f>IF(Расчет!G2=0,"",Расчет!G2)</f>
        <v/>
      </c>
      <c r="H3" s="474" t="str">
        <f>IF(Расчет!H2=0,"",Расчет!H2)</f>
        <v/>
      </c>
      <c r="I3" s="474" t="str">
        <f>IF(Расчет!I2=0,"",Расчет!I2)</f>
        <v/>
      </c>
      <c r="J3" s="474" t="str">
        <f>IF(Расчет!J2=0,"",Расчет!J2)</f>
        <v/>
      </c>
      <c r="K3" s="474" t="str">
        <f>IF(Расчет!K2=0,"",Расчет!K2)</f>
        <v/>
      </c>
      <c r="L3" s="475" t="str">
        <f t="shared" ref="L3:L17" si="0">IF(SUM(B3:K3)=0,"-",SUM(B3:K3))</f>
        <v>-</v>
      </c>
    </row>
    <row r="4" spans="1:12" ht="15.75" thickBot="1">
      <c r="A4" s="217" t="s">
        <v>1430</v>
      </c>
      <c r="B4" s="474" t="str">
        <f>IF(Расчет!B3=0,"",Расчет!B3)</f>
        <v/>
      </c>
      <c r="C4" s="474" t="str">
        <f>IF(Расчет!C3=0,"",Расчет!C3)</f>
        <v/>
      </c>
      <c r="D4" s="474" t="str">
        <f>IF(Расчет!D3=0,"",Расчет!D3)</f>
        <v/>
      </c>
      <c r="E4" s="474" t="str">
        <f>IF(Расчет!E3=0,"",Расчет!E3)</f>
        <v/>
      </c>
      <c r="F4" s="474">
        <f>IF(Расчет!F3=0,"",Расчет!F3)</f>
        <v>1</v>
      </c>
      <c r="G4" s="474" t="str">
        <f>IF(Расчет!G3=0,"",Расчет!G3)</f>
        <v/>
      </c>
      <c r="H4" s="474" t="str">
        <f>IF(Расчет!H3=0,"",Расчет!H3)</f>
        <v/>
      </c>
      <c r="I4" s="474" t="str">
        <f>IF(Расчет!I3=0,"",Расчет!I3)</f>
        <v/>
      </c>
      <c r="J4" s="474">
        <f>IF(Расчет!J3=0,"",Расчет!J3)</f>
        <v>1</v>
      </c>
      <c r="K4" s="474">
        <f>IF(Расчет!K3=0,"",Расчет!K3)</f>
        <v>1</v>
      </c>
      <c r="L4" s="475">
        <f t="shared" si="0"/>
        <v>3</v>
      </c>
    </row>
    <row r="5" spans="1:12" ht="15.75" thickBot="1">
      <c r="A5" s="217" t="s">
        <v>1450</v>
      </c>
      <c r="B5" s="474" t="str">
        <f>IF(Расчет!B4=0,"",Расчет!B4)</f>
        <v/>
      </c>
      <c r="C5" s="474">
        <f>IF(Расчет!C4=0,"",Расчет!C4)</f>
        <v>4</v>
      </c>
      <c r="D5" s="474">
        <f>IF(Расчет!D4=0,"",Расчет!D4)</f>
        <v>7</v>
      </c>
      <c r="E5" s="474">
        <f>IF(Расчет!E4=0,"",Расчет!E4)</f>
        <v>12</v>
      </c>
      <c r="F5" s="474">
        <f>IF(Расчет!F4=0,"",Расчет!F4)</f>
        <v>22</v>
      </c>
      <c r="G5" s="474" t="str">
        <f>IF(Расчет!G4=0,"",Расчет!G4)</f>
        <v/>
      </c>
      <c r="H5" s="474" t="str">
        <f>IF(Расчет!H4=0,"",Расчет!H4)</f>
        <v/>
      </c>
      <c r="I5" s="474" t="str">
        <f>IF(Расчет!I4=0,"",Расчет!I4)</f>
        <v/>
      </c>
      <c r="J5" s="474">
        <f>IF(Расчет!J4=0,"",Расчет!J4)</f>
        <v>42</v>
      </c>
      <c r="K5" s="474">
        <f>IF(Расчет!K4=0,"",Расчет!K4)</f>
        <v>28</v>
      </c>
      <c r="L5" s="475">
        <f t="shared" si="0"/>
        <v>115</v>
      </c>
    </row>
    <row r="6" spans="1:12" ht="15.75" thickBot="1">
      <c r="A6" s="217" t="s">
        <v>1451</v>
      </c>
      <c r="B6" s="474" t="str">
        <f>IF(Расчет!B5=0,"",Расчет!B5)</f>
        <v/>
      </c>
      <c r="C6" s="474" t="str">
        <f>IF(Расчет!C5=0,"",Расчет!C5)</f>
        <v/>
      </c>
      <c r="D6" s="474" t="str">
        <f>IF(Расчет!D5=0,"",Расчет!D5)</f>
        <v/>
      </c>
      <c r="E6" s="474" t="str">
        <f>IF(Расчет!E5=0,"",Расчет!E5)</f>
        <v/>
      </c>
      <c r="F6" s="474" t="str">
        <f>IF(Расчет!F5=0,"",Расчет!F5)</f>
        <v/>
      </c>
      <c r="G6" s="474" t="str">
        <f>IF(Расчет!G5=0,"",Расчет!G5)</f>
        <v/>
      </c>
      <c r="H6" s="474" t="str">
        <f>IF(Расчет!H5=0,"",Расчет!H5)</f>
        <v/>
      </c>
      <c r="I6" s="474" t="str">
        <f>IF(Расчет!I5=0,"",Расчет!I5)</f>
        <v/>
      </c>
      <c r="J6" s="474" t="str">
        <f>IF(Расчет!J5=0,"",Расчет!J5)</f>
        <v/>
      </c>
      <c r="K6" s="474" t="str">
        <f>IF(Расчет!K5=0,"",Расчет!K5)</f>
        <v/>
      </c>
      <c r="L6" s="475" t="str">
        <f t="shared" si="0"/>
        <v>-</v>
      </c>
    </row>
    <row r="7" spans="1:12" ht="15.75" thickBot="1">
      <c r="A7" s="217" t="s">
        <v>1452</v>
      </c>
      <c r="B7" s="474" t="str">
        <f>IF(Расчет!B6=0,"",Расчет!B6)</f>
        <v/>
      </c>
      <c r="C7" s="474" t="str">
        <f>IF(Расчет!C6=0,"",Расчет!C6)</f>
        <v/>
      </c>
      <c r="D7" s="474" t="str">
        <f>IF(Расчет!D6=0,"",Расчет!D6)</f>
        <v/>
      </c>
      <c r="E7" s="474" t="str">
        <f>IF(Расчет!E6=0,"",Расчет!E6)</f>
        <v/>
      </c>
      <c r="F7" s="474" t="str">
        <f>IF(Расчет!F6=0,"",Расчет!F6)</f>
        <v/>
      </c>
      <c r="G7" s="474" t="str">
        <f>IF(Расчет!G6=0,"",Расчет!G6)</f>
        <v/>
      </c>
      <c r="H7" s="474" t="str">
        <f>IF(Расчет!H6=0,"",Расчет!H6)</f>
        <v/>
      </c>
      <c r="I7" s="474" t="str">
        <f>IF(Расчет!I6=0,"",Расчет!I6)</f>
        <v/>
      </c>
      <c r="J7" s="474" t="str">
        <f>IF(Расчет!J6=0,"",Расчет!J6)</f>
        <v/>
      </c>
      <c r="K7" s="474" t="str">
        <f>IF(Расчет!K6=0,"",Расчет!K6)</f>
        <v/>
      </c>
      <c r="L7" s="475" t="str">
        <f t="shared" si="0"/>
        <v>-</v>
      </c>
    </row>
    <row r="8" spans="1:12" ht="15.75" thickBot="1">
      <c r="A8" s="217" t="s">
        <v>1453</v>
      </c>
      <c r="B8" s="474" t="str">
        <f>IF(Расчет!B7=0,"",Расчет!B7)</f>
        <v/>
      </c>
      <c r="C8" s="474" t="str">
        <f>IF(Расчет!C7=0,"",Расчет!C7)</f>
        <v/>
      </c>
      <c r="D8" s="474" t="str">
        <f>IF(Расчет!D7=0,"",Расчет!D7)</f>
        <v/>
      </c>
      <c r="E8" s="474" t="str">
        <f>IF(Расчет!E7=0,"",Расчет!E7)</f>
        <v/>
      </c>
      <c r="F8" s="474" t="str">
        <f>IF(Расчет!F7=0,"",Расчет!F7)</f>
        <v/>
      </c>
      <c r="G8" s="474" t="str">
        <f>IF(Расчет!G7=0,"",Расчет!G7)</f>
        <v/>
      </c>
      <c r="H8" s="474" t="str">
        <f>IF(Расчет!H7=0,"",Расчет!H7)</f>
        <v/>
      </c>
      <c r="I8" s="474" t="str">
        <f>IF(Расчет!I7=0,"",Расчет!I7)</f>
        <v/>
      </c>
      <c r="J8" s="474" t="str">
        <f>IF(Расчет!J7=0,"",Расчет!J7)</f>
        <v/>
      </c>
      <c r="K8" s="474" t="str">
        <f>IF(Расчет!K7=0,"",Расчет!K7)</f>
        <v/>
      </c>
      <c r="L8" s="475" t="str">
        <f t="shared" si="0"/>
        <v>-</v>
      </c>
    </row>
    <row r="9" spans="1:12" ht="15.75" thickBot="1">
      <c r="A9" s="217" t="s">
        <v>1454</v>
      </c>
      <c r="B9" s="474" t="str">
        <f>IF(Расчет!B8=0,"",Расчет!B8)</f>
        <v/>
      </c>
      <c r="C9" s="474" t="str">
        <f>IF(Расчет!C8=0,"",Расчет!C8)</f>
        <v/>
      </c>
      <c r="D9" s="474" t="str">
        <f>IF(Расчет!D8=0,"",Расчет!D8)</f>
        <v/>
      </c>
      <c r="E9" s="474" t="str">
        <f>IF(Расчет!E8=0,"",Расчет!E8)</f>
        <v/>
      </c>
      <c r="F9" s="474" t="str">
        <f>IF(Расчет!F8=0,"",Расчет!F8)</f>
        <v/>
      </c>
      <c r="G9" s="474" t="str">
        <f>IF(Расчет!G8=0,"",Расчет!G8)</f>
        <v/>
      </c>
      <c r="H9" s="474" t="str">
        <f>IF(Расчет!H8=0,"",Расчет!H8)</f>
        <v/>
      </c>
      <c r="I9" s="474" t="str">
        <f>IF(Расчет!I8=0,"",Расчет!I8)</f>
        <v/>
      </c>
      <c r="J9" s="474" t="str">
        <f>IF(Расчет!J8=0,"",Расчет!J8)</f>
        <v/>
      </c>
      <c r="K9" s="474" t="str">
        <f>IF(Расчет!K8=0,"",Расчет!K8)</f>
        <v/>
      </c>
      <c r="L9" s="475" t="str">
        <f t="shared" si="0"/>
        <v>-</v>
      </c>
    </row>
    <row r="10" spans="1:12" ht="15.75" thickBot="1">
      <c r="A10" s="217" t="s">
        <v>1455</v>
      </c>
      <c r="B10" s="474" t="str">
        <f>IF(Расчет!B9=0,"",Расчет!B9)</f>
        <v/>
      </c>
      <c r="C10" s="474" t="str">
        <f>IF(Расчет!C9=0,"",Расчет!C9)</f>
        <v/>
      </c>
      <c r="D10" s="474" t="str">
        <f>IF(Расчет!D9=0,"",Расчет!D9)</f>
        <v/>
      </c>
      <c r="E10" s="474" t="str">
        <f>IF(Расчет!E9=0,"",Расчет!E9)</f>
        <v/>
      </c>
      <c r="F10" s="474" t="str">
        <f>IF(Расчет!F9=0,"",Расчет!F9)</f>
        <v/>
      </c>
      <c r="G10" s="474" t="str">
        <f>IF(Расчет!G9=0,"",Расчет!G9)</f>
        <v/>
      </c>
      <c r="H10" s="474" t="str">
        <f>IF(Расчет!H9=0,"",Расчет!H9)</f>
        <v/>
      </c>
      <c r="I10" s="474" t="str">
        <f>IF(Расчет!I9=0,"",Расчет!I9)</f>
        <v/>
      </c>
      <c r="J10" s="474" t="str">
        <f>IF(Расчет!J9=0,"",Расчет!J9)</f>
        <v/>
      </c>
      <c r="K10" s="474" t="str">
        <f>IF(Расчет!K9=0,"",Расчет!K9)</f>
        <v/>
      </c>
      <c r="L10" s="475" t="str">
        <f t="shared" si="0"/>
        <v>-</v>
      </c>
    </row>
    <row r="11" spans="1:12" ht="15.75" thickBot="1">
      <c r="A11" s="217" t="s">
        <v>1456</v>
      </c>
      <c r="B11" s="474" t="str">
        <f>IF(Расчет!B10=0,"",Расчет!B10)</f>
        <v/>
      </c>
      <c r="C11" s="474" t="str">
        <f>IF(Расчет!C10=0,"",Расчет!C10)</f>
        <v/>
      </c>
      <c r="D11" s="474" t="str">
        <f>IF(Расчет!D10=0,"",Расчет!D10)</f>
        <v/>
      </c>
      <c r="E11" s="474" t="str">
        <f>IF(Расчет!E10=0,"",Расчет!E10)</f>
        <v/>
      </c>
      <c r="F11" s="474" t="str">
        <f>IF(Расчет!F10=0,"",Расчет!F10)</f>
        <v/>
      </c>
      <c r="G11" s="474" t="str">
        <f>IF(Расчет!G10=0,"",Расчет!G10)</f>
        <v/>
      </c>
      <c r="H11" s="474" t="str">
        <f>IF(Расчет!H10=0,"",Расчет!H10)</f>
        <v/>
      </c>
      <c r="I11" s="474" t="str">
        <f>IF(Расчет!I10=0,"",Расчет!I10)</f>
        <v/>
      </c>
      <c r="J11" s="474">
        <f>IF(Расчет!J10=0,"",Расчет!J10)</f>
        <v>2</v>
      </c>
      <c r="K11" s="474">
        <f>IF(Расчет!K10=0,"",Расчет!K10)</f>
        <v>2</v>
      </c>
      <c r="L11" s="475">
        <f t="shared" si="0"/>
        <v>4</v>
      </c>
    </row>
    <row r="12" spans="1:12" ht="15.75" thickBot="1">
      <c r="A12" s="217" t="s">
        <v>1457</v>
      </c>
      <c r="B12" s="474" t="str">
        <f>IF(Расчет!B11=0,"",Расчет!B11)</f>
        <v/>
      </c>
      <c r="C12" s="474" t="str">
        <f>IF(Расчет!C11=0,"",Расчет!C11)</f>
        <v/>
      </c>
      <c r="D12" s="474" t="str">
        <f>IF(Расчет!D11=0,"",Расчет!D11)</f>
        <v/>
      </c>
      <c r="E12" s="474" t="str">
        <f>IF(Расчет!E11=0,"",Расчет!E11)</f>
        <v/>
      </c>
      <c r="F12" s="474" t="str">
        <f>IF(Расчет!F11=0,"",Расчет!F11)</f>
        <v/>
      </c>
      <c r="G12" s="474" t="str">
        <f>IF(Расчет!G11=0,"",Расчет!G11)</f>
        <v/>
      </c>
      <c r="H12" s="474" t="str">
        <f>IF(Расчет!H11=0,"",Расчет!H11)</f>
        <v/>
      </c>
      <c r="I12" s="474" t="str">
        <f>IF(Расчет!I11=0,"",Расчет!I11)</f>
        <v/>
      </c>
      <c r="J12" s="474" t="str">
        <f>IF(Расчет!J11=0,"",Расчет!J11)</f>
        <v/>
      </c>
      <c r="K12" s="474" t="str">
        <f>IF(Расчет!K11=0,"",Расчет!K11)</f>
        <v/>
      </c>
      <c r="L12" s="475" t="str">
        <f t="shared" si="0"/>
        <v>-</v>
      </c>
    </row>
    <row r="13" spans="1:12" ht="17.25" customHeight="1" thickBot="1">
      <c r="A13" s="217" t="s">
        <v>1458</v>
      </c>
      <c r="B13" s="474" t="str">
        <f>IF(Расчет!B12=0,"",Расчет!B12)</f>
        <v/>
      </c>
      <c r="C13" s="474" t="str">
        <f>IF(Расчет!C12=0,"",Расчет!C12)</f>
        <v/>
      </c>
      <c r="D13" s="474" t="str">
        <f>IF(Расчет!D12=0,"",Расчет!D12)</f>
        <v/>
      </c>
      <c r="E13" s="474" t="str">
        <f>IF(Расчет!E12=0,"",Расчет!E12)</f>
        <v/>
      </c>
      <c r="F13" s="474" t="str">
        <f>IF(Расчет!F12=0,"",Расчет!F12)</f>
        <v/>
      </c>
      <c r="G13" s="474" t="str">
        <f>IF(Расчет!G12=0,"",Расчет!G12)</f>
        <v/>
      </c>
      <c r="H13" s="474" t="str">
        <f>IF(Расчет!H12=0,"",Расчет!H12)</f>
        <v/>
      </c>
      <c r="I13" s="474" t="str">
        <f>IF(Расчет!I12=0,"",Расчет!I12)</f>
        <v/>
      </c>
      <c r="J13" s="474" t="str">
        <f>IF(Расчет!J12=0,"",Расчет!J12)</f>
        <v/>
      </c>
      <c r="K13" s="474" t="str">
        <f>IF(Расчет!K12=0,"",Расчет!K12)</f>
        <v/>
      </c>
      <c r="L13" s="475" t="str">
        <f t="shared" si="0"/>
        <v>-</v>
      </c>
    </row>
    <row r="14" spans="1:12" ht="15.75" thickBot="1">
      <c r="A14" s="217" t="s">
        <v>1459</v>
      </c>
      <c r="B14" s="474" t="str">
        <f>IF(Расчет!B13=0,"",Расчет!B13)</f>
        <v/>
      </c>
      <c r="C14" s="474" t="str">
        <f>IF(Расчет!C13=0,"",Расчет!C13)</f>
        <v/>
      </c>
      <c r="D14" s="474" t="str">
        <f>IF(Расчет!D13=0,"",Расчет!D13)</f>
        <v/>
      </c>
      <c r="E14" s="474" t="str">
        <f>IF(Расчет!E13=0,"",Расчет!E13)</f>
        <v/>
      </c>
      <c r="F14" s="474" t="str">
        <f>IF(Расчет!F13=0,"",Расчет!F13)</f>
        <v/>
      </c>
      <c r="G14" s="474" t="str">
        <f>IF(Расчет!G13=0,"",Расчет!G13)</f>
        <v/>
      </c>
      <c r="H14" s="474" t="str">
        <f>IF(Расчет!H13=0,"",Расчет!H13)</f>
        <v/>
      </c>
      <c r="I14" s="474" t="str">
        <f>IF(Расчет!I13=0,"",Расчет!I13)</f>
        <v/>
      </c>
      <c r="J14" s="474" t="str">
        <f>IF(Расчет!J13=0,"",Расчет!J13)</f>
        <v/>
      </c>
      <c r="K14" s="474" t="str">
        <f>IF(Расчет!K13=0,"",Расчет!K13)</f>
        <v/>
      </c>
      <c r="L14" s="475" t="str">
        <f t="shared" si="0"/>
        <v>-</v>
      </c>
    </row>
    <row r="15" spans="1:12" ht="15.75" thickBot="1">
      <c r="A15" s="217" t="s">
        <v>1460</v>
      </c>
      <c r="B15" s="474" t="str">
        <f>IF(Расчет!B14=0,"",Расчет!B14)</f>
        <v/>
      </c>
      <c r="C15" s="474" t="str">
        <f>IF(Расчет!C14=0,"",Расчет!C14)</f>
        <v/>
      </c>
      <c r="D15" s="474" t="str">
        <f>IF(Расчет!D14=0,"",Расчет!D14)</f>
        <v/>
      </c>
      <c r="E15" s="474" t="str">
        <f>IF(Расчет!E14=0,"",Расчет!E14)</f>
        <v/>
      </c>
      <c r="F15" s="474" t="str">
        <f>IF(Расчет!F14=0,"",Расчет!F14)</f>
        <v/>
      </c>
      <c r="G15" s="474" t="str">
        <f>IF(Расчет!G14=0,"",Расчет!G14)</f>
        <v/>
      </c>
      <c r="H15" s="474" t="str">
        <f>IF(Расчет!H14=0,"",Расчет!H14)</f>
        <v/>
      </c>
      <c r="I15" s="474" t="str">
        <f>IF(Расчет!I14=0,"",Расчет!I14)</f>
        <v/>
      </c>
      <c r="J15" s="474">
        <f>IF(Расчет!J14=0,"",Расчет!J14)</f>
        <v>12</v>
      </c>
      <c r="K15" s="474">
        <f>IF(Расчет!K14=0,"",Расчет!K14)</f>
        <v>4</v>
      </c>
      <c r="L15" s="475">
        <f t="shared" si="0"/>
        <v>16</v>
      </c>
    </row>
    <row r="16" spans="1:12" ht="15.75" thickBot="1">
      <c r="A16" s="217" t="s">
        <v>1461</v>
      </c>
      <c r="B16" s="474" t="str">
        <f>IF(Расчет!B15=0,"",Расчет!B15)</f>
        <v/>
      </c>
      <c r="C16" s="474" t="str">
        <f>IF(Расчет!C15=0,"",Расчет!C15)</f>
        <v/>
      </c>
      <c r="D16" s="474" t="str">
        <f>IF(Расчет!D15=0,"",Расчет!D15)</f>
        <v/>
      </c>
      <c r="E16" s="474" t="str">
        <f>IF(Расчет!E15=0,"",Расчет!E15)</f>
        <v/>
      </c>
      <c r="F16" s="474" t="str">
        <f>IF(Расчет!F15=0,"",Расчет!F15)</f>
        <v/>
      </c>
      <c r="G16" s="474" t="str">
        <f>IF(Расчет!G15=0,"",Расчет!G15)</f>
        <v/>
      </c>
      <c r="H16" s="474" t="str">
        <f>IF(Расчет!H15=0,"",Расчет!H15)</f>
        <v/>
      </c>
      <c r="I16" s="474" t="str">
        <f>IF(Расчет!I15=0,"",Расчет!I15)</f>
        <v/>
      </c>
      <c r="J16" s="474" t="str">
        <f>IF(Расчет!J15=0,"",Расчет!J15)</f>
        <v/>
      </c>
      <c r="K16" s="474" t="str">
        <f>IF(Расчет!K15=0,"",Расчет!K15)</f>
        <v/>
      </c>
      <c r="L16" s="475" t="str">
        <f t="shared" si="0"/>
        <v>-</v>
      </c>
    </row>
    <row r="17" spans="1:12" ht="15.75" thickBot="1">
      <c r="A17" s="218" t="s">
        <v>1462</v>
      </c>
      <c r="B17" s="474" t="str">
        <f>IF(Расчет!B16=0,"",Расчет!B16)</f>
        <v/>
      </c>
      <c r="C17" s="474" t="str">
        <f>IF(Расчет!C16=0,"",Расчет!C16)</f>
        <v/>
      </c>
      <c r="D17" s="474" t="s">
        <v>1432</v>
      </c>
      <c r="E17" s="474" t="s">
        <v>1432</v>
      </c>
      <c r="F17" s="474" t="s">
        <v>1432</v>
      </c>
      <c r="G17" s="474" t="s">
        <v>1432</v>
      </c>
      <c r="H17" s="474" t="s">
        <v>1432</v>
      </c>
      <c r="I17" s="474" t="s">
        <v>1432</v>
      </c>
      <c r="J17" s="474" t="s">
        <v>1432</v>
      </c>
      <c r="K17" s="474" t="s">
        <v>1432</v>
      </c>
      <c r="L17" s="476" t="str">
        <f t="shared" si="0"/>
        <v>-</v>
      </c>
    </row>
    <row r="18" spans="1:12" ht="15.75" thickBot="1">
      <c r="A18" s="317" t="s">
        <v>1353</v>
      </c>
      <c r="B18" s="477" t="str">
        <f>IF(SUM(B3:B17)=0,"-",SUM(B3:B17))</f>
        <v>-</v>
      </c>
      <c r="C18" s="477">
        <f t="shared" ref="C18:L18" si="1">IF(SUM(C3:C17)=0,"-",SUM(C3:C17))</f>
        <v>4</v>
      </c>
      <c r="D18" s="477">
        <f t="shared" si="1"/>
        <v>7</v>
      </c>
      <c r="E18" s="477">
        <f t="shared" si="1"/>
        <v>12</v>
      </c>
      <c r="F18" s="478">
        <f t="shared" si="1"/>
        <v>23</v>
      </c>
      <c r="G18" s="479" t="str">
        <f t="shared" si="1"/>
        <v>-</v>
      </c>
      <c r="H18" s="479" t="str">
        <f t="shared" si="1"/>
        <v>-</v>
      </c>
      <c r="I18" s="479"/>
      <c r="J18" s="479">
        <f>IF(SUM(J3:J17)=0,"-",SUM(J3:J17))</f>
        <v>57</v>
      </c>
      <c r="K18" s="479">
        <f t="shared" si="1"/>
        <v>35</v>
      </c>
      <c r="L18" s="477">
        <f t="shared" si="1"/>
        <v>138</v>
      </c>
    </row>
  </sheetData>
  <mergeCells count="9">
    <mergeCell ref="H1:H2"/>
    <mergeCell ref="J1:J2"/>
    <mergeCell ref="K1:K2"/>
    <mergeCell ref="L1:L2"/>
    <mergeCell ref="A1:A2"/>
    <mergeCell ref="B1:C1"/>
    <mergeCell ref="D1:F1"/>
    <mergeCell ref="G1:G2"/>
    <mergeCell ref="I1:I2"/>
  </mergeCells>
  <conditionalFormatting sqref="A3:A18">
    <cfRule type="cellIs" dxfId="18" priority="1" stopIfTrue="1" operator="equal">
      <formula>INDEX($B$8:$B$22,MATCH(MAX($C$8:$C$22),$C$8:$C$22,0),1)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6">
    <tabColor indexed="10"/>
  </sheetPr>
  <dimension ref="A1:BN43"/>
  <sheetViews>
    <sheetView workbookViewId="0">
      <selection activeCell="G27" sqref="G27"/>
    </sheetView>
  </sheetViews>
  <sheetFormatPr defaultRowHeight="12.75"/>
  <cols>
    <col min="1" max="1" width="7.140625" style="128" customWidth="1"/>
    <col min="2" max="2" width="38.28515625" style="128" customWidth="1"/>
    <col min="3" max="3" width="40.140625" style="138" customWidth="1"/>
    <col min="4" max="4" width="16.42578125" style="128" customWidth="1"/>
    <col min="5" max="5" width="9" style="128" customWidth="1"/>
    <col min="6" max="6" width="13.7109375" style="128" customWidth="1"/>
    <col min="7" max="7" width="10.7109375" style="128" customWidth="1"/>
    <col min="8" max="8" width="58.85546875" style="128" customWidth="1"/>
    <col min="9" max="62" width="9.140625" style="128"/>
    <col min="63" max="66" width="9.140625" style="139"/>
    <col min="67" max="16384" width="9.140625" style="128"/>
  </cols>
  <sheetData>
    <row r="1" spans="1:66" s="90" customFormat="1" ht="39" thickBot="1">
      <c r="A1" s="85" t="s">
        <v>1224</v>
      </c>
      <c r="B1" s="86" t="s">
        <v>1225</v>
      </c>
      <c r="C1" s="86" t="s">
        <v>1226</v>
      </c>
      <c r="D1" s="86" t="s">
        <v>1227</v>
      </c>
      <c r="E1" s="86" t="s">
        <v>1228</v>
      </c>
      <c r="F1" s="86" t="s">
        <v>1229</v>
      </c>
      <c r="G1" s="86" t="s">
        <v>1230</v>
      </c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7" t="s">
        <v>1231</v>
      </c>
      <c r="BL1" s="88" t="s">
        <v>1232</v>
      </c>
      <c r="BM1" s="89" t="s">
        <v>1233</v>
      </c>
      <c r="BN1" s="87" t="s">
        <v>1234</v>
      </c>
    </row>
    <row r="2" spans="1:66" s="98" customFormat="1">
      <c r="A2" s="91">
        <v>1</v>
      </c>
      <c r="B2" s="92" t="s">
        <v>1289</v>
      </c>
      <c r="C2" s="93">
        <v>10</v>
      </c>
      <c r="D2" s="94"/>
      <c r="E2" s="94"/>
      <c r="F2" s="95" t="b">
        <v>1</v>
      </c>
      <c r="G2" s="95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7"/>
      <c r="BL2" s="97"/>
      <c r="BM2" s="97"/>
      <c r="BN2" s="97"/>
    </row>
    <row r="3" spans="1:66" s="105" customFormat="1">
      <c r="A3" s="99">
        <v>2</v>
      </c>
      <c r="B3" s="100" t="s">
        <v>1235</v>
      </c>
      <c r="C3" s="101"/>
      <c r="D3" s="102"/>
      <c r="E3" s="102"/>
      <c r="F3" s="103" t="b">
        <v>1</v>
      </c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4"/>
      <c r="BM3" s="104"/>
      <c r="BN3" s="104"/>
    </row>
    <row r="4" spans="1:66" s="113" customFormat="1">
      <c r="A4" s="106">
        <v>3</v>
      </c>
      <c r="B4" s="107" t="s">
        <v>1290</v>
      </c>
      <c r="C4" s="108" t="s">
        <v>1287</v>
      </c>
      <c r="D4" s="109"/>
      <c r="E4" s="110"/>
      <c r="F4" s="111" t="b">
        <v>1</v>
      </c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2"/>
      <c r="BL4" s="112"/>
      <c r="BM4" s="112"/>
      <c r="BN4" s="112"/>
    </row>
    <row r="5" spans="1:66" s="113" customFormat="1">
      <c r="A5" s="106">
        <v>3</v>
      </c>
      <c r="B5" s="107" t="s">
        <v>1236</v>
      </c>
      <c r="C5" s="114" t="s">
        <v>1237</v>
      </c>
      <c r="D5" s="109"/>
      <c r="E5" s="110"/>
      <c r="F5" s="111" t="b">
        <v>1</v>
      </c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2"/>
      <c r="BL5" s="112"/>
      <c r="BM5" s="112"/>
      <c r="BN5" s="112"/>
    </row>
    <row r="6" spans="1:66" s="113" customFormat="1">
      <c r="A6" s="106">
        <v>3</v>
      </c>
      <c r="B6" s="107" t="s">
        <v>1238</v>
      </c>
      <c r="C6" s="115" t="s">
        <v>1239</v>
      </c>
      <c r="D6" s="109"/>
      <c r="E6" s="110"/>
      <c r="F6" s="111" t="b">
        <v>1</v>
      </c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2"/>
      <c r="BL6" s="112"/>
      <c r="BM6" s="112"/>
      <c r="BN6" s="112"/>
    </row>
    <row r="7" spans="1:66" s="105" customFormat="1">
      <c r="A7" s="99">
        <v>2</v>
      </c>
      <c r="B7" s="100" t="s">
        <v>1240</v>
      </c>
      <c r="C7" s="101"/>
      <c r="D7" s="102"/>
      <c r="E7" s="102"/>
      <c r="F7" s="103" t="b">
        <v>1</v>
      </c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4"/>
      <c r="BL7" s="104"/>
      <c r="BM7" s="104"/>
      <c r="BN7" s="104"/>
    </row>
    <row r="8" spans="1:66" s="113" customFormat="1">
      <c r="A8" s="116">
        <v>3</v>
      </c>
      <c r="B8" s="107" t="s">
        <v>1241</v>
      </c>
      <c r="C8" s="117" t="s">
        <v>1242</v>
      </c>
      <c r="D8" s="109"/>
      <c r="E8" s="110"/>
      <c r="F8" s="111" t="b">
        <v>1</v>
      </c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2"/>
      <c r="BL8" s="112"/>
      <c r="BM8" s="112"/>
      <c r="BN8" s="112"/>
    </row>
    <row r="9" spans="1:66" s="113" customFormat="1">
      <c r="A9" s="116">
        <v>3</v>
      </c>
      <c r="B9" s="107" t="s">
        <v>1243</v>
      </c>
      <c r="C9" s="115" t="s">
        <v>1244</v>
      </c>
      <c r="D9" s="109"/>
      <c r="E9" s="110"/>
      <c r="F9" s="111" t="b">
        <v>1</v>
      </c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2"/>
      <c r="BL9" s="112"/>
      <c r="BM9" s="112"/>
      <c r="BN9" s="112"/>
    </row>
    <row r="10" spans="1:66" s="113" customFormat="1">
      <c r="A10" s="116">
        <v>3</v>
      </c>
      <c r="B10" s="107" t="s">
        <v>1245</v>
      </c>
      <c r="C10" s="115" t="s">
        <v>1246</v>
      </c>
      <c r="D10" s="109"/>
      <c r="E10" s="110"/>
      <c r="F10" s="111" t="b">
        <v>1</v>
      </c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2"/>
      <c r="BL10" s="112"/>
      <c r="BM10" s="112"/>
      <c r="BN10" s="112"/>
    </row>
    <row r="11" spans="1:66" s="105" customFormat="1">
      <c r="A11" s="99">
        <v>3</v>
      </c>
      <c r="B11" s="107" t="s">
        <v>1247</v>
      </c>
      <c r="C11" s="108" t="s">
        <v>1248</v>
      </c>
      <c r="D11" s="118"/>
      <c r="E11" s="118"/>
      <c r="F11" s="111" t="b">
        <v>1</v>
      </c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4"/>
      <c r="BL11" s="104"/>
      <c r="BM11" s="104"/>
      <c r="BN11" s="104"/>
    </row>
    <row r="12" spans="1:66" s="113" customFormat="1">
      <c r="A12" s="106">
        <v>2</v>
      </c>
      <c r="B12" s="107" t="s">
        <v>1249</v>
      </c>
      <c r="D12" s="109"/>
      <c r="E12" s="110"/>
      <c r="F12" s="111" t="b">
        <v>1</v>
      </c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2"/>
      <c r="BL12" s="112"/>
      <c r="BM12" s="112"/>
      <c r="BN12" s="112"/>
    </row>
    <row r="13" spans="1:66" s="113" customFormat="1">
      <c r="A13" s="106">
        <v>3</v>
      </c>
      <c r="B13" s="107" t="s">
        <v>1250</v>
      </c>
      <c r="C13" s="115" t="s">
        <v>1251</v>
      </c>
      <c r="D13" s="109"/>
      <c r="E13" s="110"/>
      <c r="F13" s="111" t="b">
        <v>1</v>
      </c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2"/>
      <c r="BL13" s="112"/>
      <c r="BM13" s="112"/>
      <c r="BN13" s="112"/>
    </row>
    <row r="14" spans="1:66" s="113" customFormat="1">
      <c r="A14" s="106">
        <v>3</v>
      </c>
      <c r="B14" s="107" t="s">
        <v>1252</v>
      </c>
      <c r="C14" s="115" t="s">
        <v>1253</v>
      </c>
      <c r="D14" s="109"/>
      <c r="E14" s="110"/>
      <c r="F14" s="111" t="b">
        <v>1</v>
      </c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2"/>
      <c r="BL14" s="112"/>
      <c r="BM14" s="112"/>
      <c r="BN14" s="112"/>
    </row>
    <row r="15" spans="1:66" s="105" customFormat="1">
      <c r="A15" s="99">
        <v>2</v>
      </c>
      <c r="B15" s="100" t="s">
        <v>1254</v>
      </c>
      <c r="C15" s="101"/>
      <c r="D15" s="102"/>
      <c r="E15" s="102"/>
      <c r="F15" s="103" t="b">
        <v>1</v>
      </c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4"/>
      <c r="BL15" s="104"/>
      <c r="BM15" s="104"/>
      <c r="BN15" s="104"/>
    </row>
    <row r="16" spans="1:66" s="113" customFormat="1">
      <c r="A16" s="116">
        <v>3</v>
      </c>
      <c r="B16" s="107" t="s">
        <v>1255</v>
      </c>
      <c r="C16" s="115" t="s">
        <v>1256</v>
      </c>
      <c r="D16" s="109"/>
      <c r="E16" s="109"/>
      <c r="F16" s="103" t="b">
        <v>1</v>
      </c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2"/>
      <c r="BL16" s="112"/>
      <c r="BM16" s="112"/>
      <c r="BN16" s="112"/>
    </row>
    <row r="17" spans="1:66" s="113" customFormat="1">
      <c r="A17" s="116">
        <v>3</v>
      </c>
      <c r="B17" s="107" t="s">
        <v>1747</v>
      </c>
      <c r="C17" s="119" t="s">
        <v>1748</v>
      </c>
      <c r="D17" s="109"/>
      <c r="E17" s="109"/>
      <c r="F17" s="103" t="b">
        <v>1</v>
      </c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2"/>
      <c r="BL17" s="112"/>
      <c r="BM17" s="112"/>
      <c r="BN17" s="112"/>
    </row>
    <row r="18" spans="1:66" s="113" customFormat="1">
      <c r="A18" s="116"/>
      <c r="B18" s="107"/>
      <c r="C18" s="119"/>
      <c r="D18" s="109"/>
      <c r="E18" s="109"/>
      <c r="F18" s="109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2"/>
      <c r="BL18" s="112"/>
      <c r="BM18" s="112"/>
      <c r="BN18" s="112"/>
    </row>
    <row r="19" spans="1:66" s="113" customFormat="1">
      <c r="A19" s="116"/>
      <c r="B19" s="107"/>
      <c r="C19" s="119"/>
      <c r="D19" s="109"/>
      <c r="E19" s="109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2"/>
      <c r="BL19" s="112"/>
      <c r="BM19" s="112"/>
      <c r="BN19" s="112"/>
    </row>
    <row r="20" spans="1:66" s="113" customFormat="1">
      <c r="A20" s="116"/>
      <c r="B20" s="107"/>
      <c r="C20" s="119"/>
      <c r="D20" s="109"/>
      <c r="E20" s="109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2"/>
      <c r="BL20" s="112"/>
      <c r="BM20" s="112"/>
      <c r="BN20" s="112"/>
    </row>
    <row r="21" spans="1:66" s="113" customFormat="1">
      <c r="A21" s="116"/>
      <c r="B21" s="107"/>
      <c r="C21" s="120"/>
      <c r="D21" s="109"/>
      <c r="E21" s="109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2"/>
      <c r="BL21" s="112"/>
      <c r="BM21" s="112"/>
      <c r="BN21" s="112"/>
    </row>
    <row r="22" spans="1:66" s="113" customFormat="1">
      <c r="A22" s="116"/>
      <c r="B22" s="107"/>
      <c r="C22" s="120"/>
      <c r="D22" s="109"/>
      <c r="E22" s="109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2"/>
      <c r="BL22" s="112"/>
      <c r="BM22" s="112"/>
      <c r="BN22" s="112"/>
    </row>
    <row r="23" spans="1:66" s="113" customFormat="1">
      <c r="A23" s="116"/>
      <c r="B23" s="107"/>
      <c r="C23" s="120"/>
      <c r="D23" s="109"/>
      <c r="E23" s="109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2"/>
      <c r="BL23" s="112"/>
      <c r="BM23" s="112"/>
      <c r="BN23" s="112"/>
    </row>
    <row r="24" spans="1:66" s="105" customFormat="1">
      <c r="A24" s="121"/>
      <c r="B24" s="100"/>
      <c r="C24" s="101"/>
      <c r="D24" s="102"/>
      <c r="E24" s="102"/>
      <c r="F24" s="118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4"/>
      <c r="BL24" s="104"/>
      <c r="BM24" s="104"/>
      <c r="BN24" s="104"/>
    </row>
    <row r="25" spans="1:66" s="113" customFormat="1">
      <c r="A25" s="106"/>
      <c r="B25" s="107"/>
      <c r="C25" s="115"/>
      <c r="D25" s="110"/>
      <c r="E25" s="110"/>
      <c r="F25" s="109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2"/>
      <c r="BL25" s="112"/>
      <c r="BM25" s="112"/>
      <c r="BN25" s="112"/>
    </row>
    <row r="26" spans="1:66" s="113" customFormat="1">
      <c r="A26" s="106"/>
      <c r="B26" s="107"/>
      <c r="C26" s="115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2"/>
      <c r="BL26" s="112"/>
      <c r="BM26" s="112"/>
      <c r="BN26" s="112"/>
    </row>
    <row r="27" spans="1:66" s="105" customFormat="1">
      <c r="A27" s="99"/>
      <c r="B27" s="100"/>
      <c r="C27" s="122"/>
      <c r="D27" s="118"/>
      <c r="E27" s="118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4"/>
      <c r="BL27" s="104"/>
      <c r="BM27" s="104"/>
      <c r="BN27" s="104"/>
    </row>
    <row r="28" spans="1:66" s="113" customFormat="1">
      <c r="A28" s="106"/>
      <c r="B28" s="107"/>
      <c r="C28" s="115"/>
      <c r="D28" s="109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2"/>
      <c r="BL28" s="112"/>
      <c r="BM28" s="112"/>
      <c r="BN28" s="112"/>
    </row>
    <row r="29" spans="1:66" s="113" customFormat="1">
      <c r="A29" s="106"/>
      <c r="B29" s="107"/>
      <c r="C29" s="115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2"/>
      <c r="BL29" s="112"/>
      <c r="BM29" s="112"/>
      <c r="BN29" s="112"/>
    </row>
    <row r="30" spans="1:66" s="113" customFormat="1">
      <c r="A30" s="106"/>
      <c r="B30" s="123"/>
      <c r="C30" s="115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2"/>
      <c r="BL30" s="112"/>
      <c r="BM30" s="112"/>
      <c r="BN30" s="112"/>
    </row>
    <row r="31" spans="1:66">
      <c r="A31" s="124"/>
      <c r="B31" s="125"/>
      <c r="C31" s="120"/>
      <c r="D31" s="126"/>
      <c r="E31" s="126"/>
      <c r="F31" s="110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7"/>
      <c r="BL31" s="127"/>
      <c r="BM31" s="127"/>
      <c r="BN31" s="127"/>
    </row>
    <row r="32" spans="1:66" s="134" customFormat="1">
      <c r="A32" s="129"/>
      <c r="B32" s="130"/>
      <c r="C32" s="131"/>
      <c r="D32" s="132"/>
      <c r="E32" s="132"/>
      <c r="F32" s="110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32"/>
      <c r="BE32" s="132"/>
      <c r="BF32" s="132"/>
      <c r="BG32" s="132"/>
      <c r="BH32" s="132"/>
      <c r="BI32" s="132"/>
      <c r="BJ32" s="132"/>
      <c r="BK32" s="133"/>
      <c r="BL32" s="133"/>
      <c r="BM32" s="133"/>
      <c r="BN32" s="133"/>
    </row>
    <row r="33" spans="1:66" s="105" customFormat="1">
      <c r="A33" s="99"/>
      <c r="B33" s="100"/>
      <c r="C33" s="122"/>
      <c r="D33" s="118"/>
      <c r="E33" s="118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4"/>
      <c r="BL33" s="104"/>
      <c r="BM33" s="104"/>
      <c r="BN33" s="104"/>
    </row>
    <row r="34" spans="1:66" s="134" customFormat="1">
      <c r="A34" s="129"/>
      <c r="B34" s="135"/>
      <c r="C34" s="117"/>
      <c r="D34" s="132"/>
      <c r="E34" s="132"/>
      <c r="F34" s="110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  <c r="BK34" s="133"/>
      <c r="BL34" s="133"/>
      <c r="BM34" s="133"/>
      <c r="BN34" s="133"/>
    </row>
    <row r="35" spans="1:66" s="134" customFormat="1">
      <c r="A35" s="129"/>
      <c r="B35" s="135"/>
      <c r="C35" s="117"/>
      <c r="D35" s="132"/>
      <c r="E35" s="132"/>
      <c r="F35" s="110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  <c r="BK35" s="133"/>
      <c r="BL35" s="133"/>
      <c r="BM35" s="133"/>
      <c r="BN35" s="133"/>
    </row>
    <row r="36" spans="1:66" s="134" customFormat="1">
      <c r="A36" s="129"/>
      <c r="B36" s="135"/>
      <c r="C36" s="117"/>
      <c r="D36" s="132"/>
      <c r="E36" s="132"/>
      <c r="F36" s="110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32"/>
      <c r="AI36" s="132"/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3"/>
      <c r="BL36" s="133"/>
      <c r="BM36" s="133"/>
      <c r="BN36" s="133"/>
    </row>
    <row r="37" spans="1:66" s="134" customFormat="1">
      <c r="A37" s="129"/>
      <c r="B37" s="132"/>
      <c r="C37" s="120"/>
      <c r="D37" s="132"/>
      <c r="E37" s="132"/>
      <c r="F37" s="110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  <c r="BK37" s="133"/>
      <c r="BL37" s="133"/>
      <c r="BM37" s="133"/>
      <c r="BN37" s="133"/>
    </row>
    <row r="38" spans="1:66" s="105" customFormat="1">
      <c r="A38" s="99"/>
      <c r="B38" s="100"/>
      <c r="C38" s="122"/>
      <c r="D38" s="118"/>
      <c r="E38" s="118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4"/>
      <c r="BL38" s="104"/>
      <c r="BM38" s="104"/>
      <c r="BN38" s="104"/>
    </row>
    <row r="39" spans="1:66" s="134" customFormat="1">
      <c r="A39" s="129"/>
      <c r="B39" s="130"/>
      <c r="C39" s="136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  <c r="BK39" s="133"/>
      <c r="BL39" s="133"/>
      <c r="BM39" s="133"/>
      <c r="BN39" s="133"/>
    </row>
    <row r="40" spans="1:66" s="134" customFormat="1">
      <c r="A40" s="129"/>
      <c r="B40" s="130"/>
      <c r="C40" s="136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  <c r="BK40" s="133"/>
      <c r="BL40" s="133"/>
      <c r="BM40" s="133"/>
      <c r="BN40" s="133"/>
    </row>
    <row r="41" spans="1:66">
      <c r="A41" s="124"/>
      <c r="B41" s="125"/>
      <c r="C41" s="136"/>
      <c r="D41" s="126"/>
      <c r="E41" s="126"/>
      <c r="F41" s="132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26"/>
      <c r="BH41" s="126"/>
      <c r="BI41" s="126"/>
      <c r="BJ41" s="126"/>
      <c r="BK41" s="127"/>
      <c r="BL41" s="127"/>
      <c r="BM41" s="127"/>
      <c r="BN41" s="127"/>
    </row>
    <row r="42" spans="1:66" s="134" customFormat="1">
      <c r="A42" s="129"/>
      <c r="B42" s="137"/>
      <c r="C42" s="120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3"/>
      <c r="BL42" s="133"/>
      <c r="BM42" s="133"/>
      <c r="BN42" s="133"/>
    </row>
    <row r="43" spans="1:66">
      <c r="A43" s="124"/>
      <c r="B43" s="126"/>
      <c r="C43" s="120"/>
      <c r="D43" s="126"/>
      <c r="E43" s="126"/>
      <c r="F43" s="110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26"/>
      <c r="BH43" s="126"/>
      <c r="BI43" s="126"/>
      <c r="BJ43" s="126"/>
      <c r="BK43" s="127"/>
      <c r="BL43" s="127"/>
      <c r="BM43" s="127"/>
      <c r="BN43" s="127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Menu">
                <anchor>
                  <from>
                    <xdr:col>5</xdr:col>
                    <xdr:colOff>790575</xdr:colOff>
                    <xdr:row>0</xdr:row>
                    <xdr:rowOff>857250</xdr:rowOff>
                  </from>
                  <to>
                    <xdr:col>7</xdr:col>
                    <xdr:colOff>142875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DeleteMenu">
                <anchor>
                  <from>
                    <xdr:col>5</xdr:col>
                    <xdr:colOff>809625</xdr:colOff>
                    <xdr:row>1</xdr:row>
                    <xdr:rowOff>104775</xdr:rowOff>
                  </from>
                  <to>
                    <xdr:col>7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/>
  <dimension ref="A1:E12"/>
  <sheetViews>
    <sheetView workbookViewId="0">
      <selection activeCell="D1" sqref="D1:D12"/>
    </sheetView>
  </sheetViews>
  <sheetFormatPr defaultColWidth="8.85546875" defaultRowHeight="12.75"/>
  <cols>
    <col min="1" max="1" width="15" style="25" customWidth="1"/>
    <col min="2" max="2" width="13.28515625" style="25" customWidth="1"/>
    <col min="3" max="3" width="12.140625" style="25" customWidth="1"/>
    <col min="4" max="4" width="8.85546875" style="25"/>
    <col min="5" max="5" width="12.85546875" style="25" customWidth="1"/>
    <col min="6" max="16384" width="8.85546875" style="25"/>
  </cols>
  <sheetData>
    <row r="1" spans="1:5">
      <c r="A1" s="25" t="s">
        <v>951</v>
      </c>
      <c r="B1" s="25" t="s">
        <v>952</v>
      </c>
      <c r="C1" s="25" t="s">
        <v>953</v>
      </c>
      <c r="D1" s="485">
        <v>1</v>
      </c>
      <c r="E1" s="25" t="str">
        <f t="shared" ref="E1:E12" si="0">D1 &amp; "_" &amp; A1</f>
        <v>1_Січень</v>
      </c>
    </row>
    <row r="2" spans="1:5">
      <c r="A2" s="25" t="s">
        <v>954</v>
      </c>
      <c r="B2" s="25" t="s">
        <v>955</v>
      </c>
      <c r="C2" s="25" t="s">
        <v>956</v>
      </c>
      <c r="D2" s="485">
        <v>2</v>
      </c>
      <c r="E2" s="25" t="str">
        <f t="shared" si="0"/>
        <v>2_Лютий</v>
      </c>
    </row>
    <row r="3" spans="1:5">
      <c r="A3" s="25" t="s">
        <v>957</v>
      </c>
      <c r="B3" s="47" t="s">
        <v>958</v>
      </c>
      <c r="C3" s="25" t="s">
        <v>959</v>
      </c>
      <c r="D3" s="485">
        <v>3</v>
      </c>
      <c r="E3" s="25" t="str">
        <f t="shared" si="0"/>
        <v>3_Березень</v>
      </c>
    </row>
    <row r="4" spans="1:5">
      <c r="A4" s="25" t="s">
        <v>960</v>
      </c>
      <c r="B4" s="25" t="s">
        <v>961</v>
      </c>
      <c r="C4" s="25" t="s">
        <v>962</v>
      </c>
      <c r="D4" s="485">
        <v>4</v>
      </c>
      <c r="E4" s="25" t="str">
        <f t="shared" si="0"/>
        <v>4_Квітень</v>
      </c>
    </row>
    <row r="5" spans="1:5">
      <c r="A5" s="25" t="s">
        <v>963</v>
      </c>
      <c r="B5" s="25" t="s">
        <v>964</v>
      </c>
      <c r="C5" s="25" t="s">
        <v>965</v>
      </c>
      <c r="D5" s="485">
        <v>5</v>
      </c>
      <c r="E5" s="25" t="str">
        <f t="shared" si="0"/>
        <v>5_Травень</v>
      </c>
    </row>
    <row r="6" spans="1:5">
      <c r="A6" s="25" t="s">
        <v>966</v>
      </c>
      <c r="B6" s="25" t="s">
        <v>967</v>
      </c>
      <c r="C6" s="25" t="s">
        <v>968</v>
      </c>
      <c r="D6" s="485">
        <v>6</v>
      </c>
      <c r="E6" s="25" t="str">
        <f t="shared" si="0"/>
        <v>6_Червень</v>
      </c>
    </row>
    <row r="7" spans="1:5">
      <c r="A7" s="25" t="s">
        <v>969</v>
      </c>
      <c r="B7" s="25" t="s">
        <v>970</v>
      </c>
      <c r="C7" s="25" t="s">
        <v>971</v>
      </c>
      <c r="D7" s="485">
        <v>7</v>
      </c>
      <c r="E7" s="25" t="str">
        <f t="shared" si="0"/>
        <v>7_Липень</v>
      </c>
    </row>
    <row r="8" spans="1:5">
      <c r="A8" s="25" t="s">
        <v>972</v>
      </c>
      <c r="B8" s="25" t="s">
        <v>973</v>
      </c>
      <c r="C8" s="25" t="s">
        <v>974</v>
      </c>
      <c r="D8" s="485">
        <v>8</v>
      </c>
      <c r="E8" s="25" t="str">
        <f t="shared" si="0"/>
        <v>8_Серпень</v>
      </c>
    </row>
    <row r="9" spans="1:5">
      <c r="A9" s="25" t="s">
        <v>975</v>
      </c>
      <c r="B9" s="25" t="s">
        <v>976</v>
      </c>
      <c r="C9" s="25" t="s">
        <v>977</v>
      </c>
      <c r="D9" s="485">
        <v>9</v>
      </c>
      <c r="E9" s="25" t="str">
        <f t="shared" si="0"/>
        <v>9_Вересень</v>
      </c>
    </row>
    <row r="10" spans="1:5">
      <c r="A10" s="25" t="s">
        <v>978</v>
      </c>
      <c r="B10" s="25" t="s">
        <v>979</v>
      </c>
      <c r="C10" s="25" t="s">
        <v>980</v>
      </c>
      <c r="D10" s="485">
        <v>10</v>
      </c>
      <c r="E10" s="25" t="str">
        <f t="shared" si="0"/>
        <v>10_Жовтень</v>
      </c>
    </row>
    <row r="11" spans="1:5">
      <c r="A11" s="25" t="s">
        <v>981</v>
      </c>
      <c r="B11" s="25" t="s">
        <v>982</v>
      </c>
      <c r="C11" s="25" t="s">
        <v>983</v>
      </c>
      <c r="D11" s="485">
        <v>11</v>
      </c>
      <c r="E11" s="25" t="str">
        <f t="shared" si="0"/>
        <v>11_Листопад</v>
      </c>
    </row>
    <row r="12" spans="1:5">
      <c r="A12" s="25" t="s">
        <v>984</v>
      </c>
      <c r="B12" s="25" t="s">
        <v>985</v>
      </c>
      <c r="C12" s="25" t="s">
        <v>986</v>
      </c>
      <c r="D12" s="485">
        <v>12</v>
      </c>
      <c r="E12" s="25" t="str">
        <f t="shared" si="0"/>
        <v>12_Грудень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T446"/>
  <sheetViews>
    <sheetView topLeftCell="A28" workbookViewId="0">
      <selection activeCell="T217" sqref="T217:T228"/>
    </sheetView>
  </sheetViews>
  <sheetFormatPr defaultColWidth="8" defaultRowHeight="15" outlineLevelRow="3"/>
  <cols>
    <col min="1" max="1" width="8" style="3" customWidth="1"/>
    <col min="2" max="2" width="4" style="3" customWidth="1"/>
    <col min="3" max="3" width="6.5703125" style="3" customWidth="1"/>
    <col min="4" max="4" width="24" style="3" customWidth="1"/>
    <col min="5" max="5" width="8.28515625" style="3" customWidth="1"/>
    <col min="6" max="6" width="2.42578125" style="3" customWidth="1"/>
    <col min="7" max="7" width="11.140625" style="3" customWidth="1"/>
    <col min="8" max="8" width="24" style="3" customWidth="1"/>
    <col min="9" max="9" width="8.140625" style="3" customWidth="1"/>
    <col min="10" max="10" width="5.7109375" style="3" customWidth="1"/>
    <col min="11" max="11" width="9" style="3" customWidth="1"/>
    <col min="12" max="12" width="8.28515625" style="3" customWidth="1"/>
    <col min="13" max="13" width="8" style="3" customWidth="1"/>
  </cols>
  <sheetData>
    <row r="1" spans="1:13" s="3" customFormat="1" ht="10.15" customHeight="1"/>
    <row r="2" spans="1:13" ht="49.15" customHeight="1">
      <c r="A2" s="702" t="s">
        <v>397</v>
      </c>
      <c r="B2" s="703"/>
      <c r="C2" s="703"/>
      <c r="D2" s="703"/>
      <c r="E2" s="703"/>
      <c r="F2" s="703"/>
      <c r="G2" s="702"/>
      <c r="H2" s="702"/>
      <c r="I2" s="702"/>
      <c r="J2" s="702"/>
      <c r="K2" s="702"/>
      <c r="L2" s="702"/>
      <c r="M2" s="702"/>
    </row>
    <row r="3" spans="1:13" s="3" customFormat="1" ht="10.15" customHeight="1"/>
    <row r="4" spans="1:13" ht="13.35" customHeight="1">
      <c r="A4" s="704" t="s">
        <v>16</v>
      </c>
      <c r="B4" s="704"/>
      <c r="C4" s="704"/>
      <c r="D4" s="704"/>
      <c r="E4" s="704"/>
      <c r="F4" s="704"/>
      <c r="G4" s="704"/>
      <c r="H4" s="704"/>
      <c r="I4" s="704"/>
      <c r="J4" s="704"/>
      <c r="K4" s="704"/>
      <c r="L4" s="704"/>
      <c r="M4" s="704"/>
    </row>
    <row r="5" spans="1:13" ht="13.35" customHeight="1">
      <c r="A5" s="704" t="s">
        <v>10</v>
      </c>
      <c r="B5" s="704"/>
      <c r="C5" s="704"/>
      <c r="D5" s="704"/>
      <c r="E5" s="704"/>
      <c r="F5" s="704"/>
      <c r="G5" s="704"/>
      <c r="H5" s="704"/>
      <c r="I5" s="704"/>
      <c r="J5" s="704"/>
      <c r="K5" s="704"/>
      <c r="L5" s="704"/>
      <c r="M5" s="704"/>
    </row>
    <row r="6" spans="1:13" ht="13.35" customHeight="1">
      <c r="A6" s="704" t="s">
        <v>13</v>
      </c>
      <c r="B6" s="704"/>
      <c r="C6" s="704"/>
      <c r="D6" s="704"/>
      <c r="E6" s="704"/>
      <c r="F6" s="704"/>
      <c r="G6" s="704"/>
      <c r="H6" s="704"/>
      <c r="I6" s="704"/>
      <c r="J6" s="704"/>
      <c r="K6" s="704"/>
      <c r="L6" s="704"/>
      <c r="M6" s="704"/>
    </row>
    <row r="7" spans="1:13" ht="26.1" customHeight="1">
      <c r="A7" s="704" t="s">
        <v>398</v>
      </c>
      <c r="B7" s="704"/>
      <c r="C7" s="4" t="s">
        <v>15</v>
      </c>
      <c r="D7" s="4" t="s">
        <v>4</v>
      </c>
      <c r="E7" s="4" t="s">
        <v>5</v>
      </c>
      <c r="F7" s="704" t="s">
        <v>399</v>
      </c>
      <c r="G7" s="704"/>
      <c r="H7" s="4" t="s">
        <v>400</v>
      </c>
      <c r="I7" s="4" t="s">
        <v>379</v>
      </c>
      <c r="J7" s="4" t="s">
        <v>380</v>
      </c>
      <c r="K7" s="4" t="s">
        <v>401</v>
      </c>
      <c r="L7" s="4" t="s">
        <v>402</v>
      </c>
      <c r="M7" s="4" t="s">
        <v>403</v>
      </c>
    </row>
    <row r="8" spans="1:13" ht="11.85" customHeight="1">
      <c r="A8" s="698" t="s">
        <v>20</v>
      </c>
      <c r="B8" s="698"/>
      <c r="C8" s="698"/>
      <c r="D8" s="698"/>
      <c r="E8" s="698"/>
      <c r="F8" s="698"/>
      <c r="G8" s="698"/>
      <c r="H8" s="698"/>
      <c r="I8" s="698"/>
      <c r="J8" s="698"/>
      <c r="K8" s="698"/>
      <c r="L8" s="698"/>
      <c r="M8" s="698"/>
    </row>
    <row r="9" spans="1:13" ht="11.85" customHeight="1" outlineLevel="1">
      <c r="A9" s="699" t="s">
        <v>19</v>
      </c>
      <c r="B9" s="699"/>
      <c r="C9" s="699"/>
      <c r="D9" s="699"/>
      <c r="E9" s="699"/>
      <c r="F9" s="699"/>
      <c r="G9" s="699"/>
      <c r="H9" s="699"/>
      <c r="I9" s="699"/>
      <c r="J9" s="699"/>
      <c r="K9" s="699"/>
      <c r="L9" s="699"/>
      <c r="M9" s="699"/>
    </row>
    <row r="10" spans="1:13" ht="11.85" customHeight="1" outlineLevel="2">
      <c r="A10" s="700" t="s">
        <v>404</v>
      </c>
      <c r="B10" s="700"/>
      <c r="C10" s="700"/>
      <c r="D10" s="700"/>
      <c r="E10" s="700"/>
      <c r="F10" s="700"/>
      <c r="G10" s="700"/>
      <c r="H10" s="700"/>
      <c r="I10" s="700"/>
      <c r="J10" s="700"/>
      <c r="K10" s="700"/>
      <c r="L10" s="700"/>
      <c r="M10" s="700"/>
    </row>
    <row r="11" spans="1:13" ht="11.85" customHeight="1" outlineLevel="3">
      <c r="A11" s="7"/>
      <c r="B11" s="8"/>
      <c r="C11" s="6"/>
      <c r="D11" s="6" t="s">
        <v>59</v>
      </c>
      <c r="E11" s="5">
        <v>70</v>
      </c>
      <c r="F11" s="701" t="s">
        <v>405</v>
      </c>
      <c r="G11" s="701"/>
      <c r="H11" s="6"/>
      <c r="I11" s="6"/>
      <c r="J11" s="6"/>
      <c r="K11" s="9"/>
      <c r="L11" s="9"/>
      <c r="M11" s="9"/>
    </row>
    <row r="12" spans="1:13" ht="11.85" customHeight="1" outlineLevel="3">
      <c r="A12" s="7"/>
      <c r="B12" s="8"/>
      <c r="C12" s="6"/>
      <c r="D12" s="6" t="s">
        <v>60</v>
      </c>
      <c r="E12" s="5">
        <v>85</v>
      </c>
      <c r="F12" s="701" t="s">
        <v>406</v>
      </c>
      <c r="G12" s="701"/>
      <c r="H12" s="6"/>
      <c r="I12" s="6"/>
      <c r="J12" s="6"/>
      <c r="K12" s="9"/>
      <c r="L12" s="9"/>
      <c r="M12" s="9"/>
    </row>
    <row r="13" spans="1:13" ht="11.85" customHeight="1" outlineLevel="3">
      <c r="A13" s="7"/>
      <c r="B13" s="8"/>
      <c r="C13" s="6"/>
      <c r="D13" s="6" t="s">
        <v>32</v>
      </c>
      <c r="E13" s="5">
        <v>62</v>
      </c>
      <c r="F13" s="701" t="s">
        <v>407</v>
      </c>
      <c r="G13" s="701"/>
      <c r="H13" s="6" t="s">
        <v>387</v>
      </c>
      <c r="I13" s="6" t="s">
        <v>383</v>
      </c>
      <c r="J13" s="5">
        <v>1</v>
      </c>
      <c r="K13" s="9"/>
      <c r="L13" s="9"/>
      <c r="M13" s="10">
        <v>10</v>
      </c>
    </row>
    <row r="14" spans="1:13" ht="11.85" customHeight="1" outlineLevel="3">
      <c r="A14" s="7"/>
      <c r="B14" s="8"/>
      <c r="C14" s="6"/>
      <c r="D14" s="6" t="s">
        <v>32</v>
      </c>
      <c r="E14" s="5">
        <v>62</v>
      </c>
      <c r="F14" s="701" t="s">
        <v>407</v>
      </c>
      <c r="G14" s="701"/>
      <c r="H14" s="6" t="s">
        <v>387</v>
      </c>
      <c r="I14" s="6" t="s">
        <v>383</v>
      </c>
      <c r="J14" s="5">
        <v>2</v>
      </c>
      <c r="K14" s="9"/>
      <c r="L14" s="9"/>
      <c r="M14" s="10">
        <v>14</v>
      </c>
    </row>
    <row r="15" spans="1:13" ht="11.85" customHeight="1" outlineLevel="3">
      <c r="A15" s="7"/>
      <c r="B15" s="8"/>
      <c r="C15" s="6"/>
      <c r="D15" s="6" t="s">
        <v>32</v>
      </c>
      <c r="E15" s="5">
        <v>62</v>
      </c>
      <c r="F15" s="701" t="s">
        <v>407</v>
      </c>
      <c r="G15" s="701"/>
      <c r="H15" s="6" t="s">
        <v>387</v>
      </c>
      <c r="I15" s="6" t="s">
        <v>408</v>
      </c>
      <c r="J15" s="5">
        <v>2</v>
      </c>
      <c r="K15" s="9"/>
      <c r="L15" s="9"/>
      <c r="M15" s="10">
        <v>5</v>
      </c>
    </row>
    <row r="16" spans="1:13" ht="11.85" customHeight="1" outlineLevel="3">
      <c r="A16" s="7"/>
      <c r="B16" s="8"/>
      <c r="C16" s="6"/>
      <c r="D16" s="6" t="s">
        <v>32</v>
      </c>
      <c r="E16" s="5">
        <v>62</v>
      </c>
      <c r="F16" s="701" t="s">
        <v>407</v>
      </c>
      <c r="G16" s="701"/>
      <c r="H16" s="6" t="s">
        <v>381</v>
      </c>
      <c r="I16" s="6" t="s">
        <v>383</v>
      </c>
      <c r="J16" s="5">
        <v>1</v>
      </c>
      <c r="K16" s="9"/>
      <c r="L16" s="9"/>
      <c r="M16" s="10">
        <v>25</v>
      </c>
    </row>
    <row r="17" spans="1:13" ht="11.85" customHeight="1" outlineLevel="3">
      <c r="A17" s="7"/>
      <c r="B17" s="8"/>
      <c r="C17" s="6"/>
      <c r="D17" s="6" t="s">
        <v>32</v>
      </c>
      <c r="E17" s="5">
        <v>62</v>
      </c>
      <c r="F17" s="701" t="s">
        <v>407</v>
      </c>
      <c r="G17" s="701"/>
      <c r="H17" s="6" t="s">
        <v>381</v>
      </c>
      <c r="I17" s="6" t="s">
        <v>383</v>
      </c>
      <c r="J17" s="5">
        <v>2</v>
      </c>
      <c r="K17" s="9"/>
      <c r="L17" s="9"/>
      <c r="M17" s="10">
        <v>57</v>
      </c>
    </row>
    <row r="18" spans="1:13" ht="11.85" customHeight="1" outlineLevel="3">
      <c r="A18" s="7"/>
      <c r="B18" s="8"/>
      <c r="C18" s="6"/>
      <c r="D18" s="6" t="s">
        <v>32</v>
      </c>
      <c r="E18" s="5">
        <v>62</v>
      </c>
      <c r="F18" s="701" t="s">
        <v>407</v>
      </c>
      <c r="G18" s="701"/>
      <c r="H18" s="6" t="s">
        <v>381</v>
      </c>
      <c r="I18" s="6" t="s">
        <v>383</v>
      </c>
      <c r="J18" s="5">
        <v>3</v>
      </c>
      <c r="K18" s="9"/>
      <c r="L18" s="9"/>
      <c r="M18" s="10">
        <v>92</v>
      </c>
    </row>
    <row r="19" spans="1:13" ht="11.85" customHeight="1" outlineLevel="3">
      <c r="A19" s="7"/>
      <c r="B19" s="8"/>
      <c r="C19" s="6"/>
      <c r="D19" s="6" t="s">
        <v>32</v>
      </c>
      <c r="E19" s="5">
        <v>62</v>
      </c>
      <c r="F19" s="701" t="s">
        <v>407</v>
      </c>
      <c r="G19" s="701"/>
      <c r="H19" s="6" t="s">
        <v>381</v>
      </c>
      <c r="I19" s="6" t="s">
        <v>408</v>
      </c>
      <c r="J19" s="5">
        <v>1</v>
      </c>
      <c r="K19" s="9"/>
      <c r="L19" s="9"/>
      <c r="M19" s="10">
        <v>11</v>
      </c>
    </row>
    <row r="20" spans="1:13" ht="11.85" customHeight="1" outlineLevel="3">
      <c r="A20" s="7"/>
      <c r="B20" s="8"/>
      <c r="C20" s="6"/>
      <c r="D20" s="6" t="s">
        <v>32</v>
      </c>
      <c r="E20" s="5">
        <v>62</v>
      </c>
      <c r="F20" s="701" t="s">
        <v>407</v>
      </c>
      <c r="G20" s="701"/>
      <c r="H20" s="6" t="s">
        <v>381</v>
      </c>
      <c r="I20" s="6" t="s">
        <v>408</v>
      </c>
      <c r="J20" s="5">
        <v>2</v>
      </c>
      <c r="K20" s="9"/>
      <c r="L20" s="9"/>
      <c r="M20" s="10">
        <v>18</v>
      </c>
    </row>
    <row r="21" spans="1:13" ht="11.85" customHeight="1" outlineLevel="3">
      <c r="A21" s="7"/>
      <c r="B21" s="8"/>
      <c r="C21" s="6"/>
      <c r="D21" s="6" t="s">
        <v>32</v>
      </c>
      <c r="E21" s="5">
        <v>62</v>
      </c>
      <c r="F21" s="701" t="s">
        <v>407</v>
      </c>
      <c r="G21" s="701"/>
      <c r="H21" s="6" t="s">
        <v>381</v>
      </c>
      <c r="I21" s="6" t="s">
        <v>408</v>
      </c>
      <c r="J21" s="5">
        <v>2</v>
      </c>
      <c r="K21" s="9"/>
      <c r="L21" s="9"/>
      <c r="M21" s="10">
        <v>37</v>
      </c>
    </row>
    <row r="22" spans="1:13" ht="11.85" customHeight="1" outlineLevel="3">
      <c r="A22" s="7"/>
      <c r="B22" s="8"/>
      <c r="C22" s="6"/>
      <c r="D22" s="6" t="s">
        <v>32</v>
      </c>
      <c r="E22" s="5">
        <v>62</v>
      </c>
      <c r="F22" s="701" t="s">
        <v>407</v>
      </c>
      <c r="G22" s="701"/>
      <c r="H22" s="6" t="s">
        <v>381</v>
      </c>
      <c r="I22" s="6" t="s">
        <v>385</v>
      </c>
      <c r="J22" s="5">
        <v>3</v>
      </c>
      <c r="K22" s="9"/>
      <c r="L22" s="9"/>
      <c r="M22" s="10">
        <v>6</v>
      </c>
    </row>
    <row r="23" spans="1:13" ht="11.85" customHeight="1" outlineLevel="3">
      <c r="A23" s="7"/>
      <c r="B23" s="8"/>
      <c r="C23" s="6"/>
      <c r="D23" s="6" t="s">
        <v>32</v>
      </c>
      <c r="E23" s="5">
        <v>62</v>
      </c>
      <c r="F23" s="701" t="s">
        <v>407</v>
      </c>
      <c r="G23" s="701"/>
      <c r="H23" s="6" t="s">
        <v>409</v>
      </c>
      <c r="I23" s="6" t="s">
        <v>385</v>
      </c>
      <c r="J23" s="6" t="s">
        <v>410</v>
      </c>
      <c r="K23" s="9"/>
      <c r="L23" s="9"/>
      <c r="M23" s="10">
        <v>4</v>
      </c>
    </row>
    <row r="24" spans="1:13" ht="11.85" customHeight="1" outlineLevel="3">
      <c r="A24" s="7"/>
      <c r="B24" s="8"/>
      <c r="C24" s="6"/>
      <c r="D24" s="6" t="s">
        <v>32</v>
      </c>
      <c r="E24" s="5">
        <v>62</v>
      </c>
      <c r="F24" s="701" t="s">
        <v>407</v>
      </c>
      <c r="G24" s="701"/>
      <c r="H24" s="6" t="s">
        <v>411</v>
      </c>
      <c r="I24" s="6" t="s">
        <v>386</v>
      </c>
      <c r="J24" s="6" t="s">
        <v>410</v>
      </c>
      <c r="K24" s="9"/>
      <c r="L24" s="9"/>
      <c r="M24" s="10">
        <v>1</v>
      </c>
    </row>
    <row r="25" spans="1:13" ht="11.85" customHeight="1" outlineLevel="3">
      <c r="A25" s="7"/>
      <c r="B25" s="8"/>
      <c r="C25" s="6"/>
      <c r="D25" s="6" t="s">
        <v>32</v>
      </c>
      <c r="E25" s="5">
        <v>62</v>
      </c>
      <c r="F25" s="701" t="s">
        <v>407</v>
      </c>
      <c r="G25" s="701"/>
      <c r="H25" s="6" t="s">
        <v>382</v>
      </c>
      <c r="I25" s="6" t="s">
        <v>386</v>
      </c>
      <c r="J25" s="6" t="s">
        <v>410</v>
      </c>
      <c r="K25" s="9"/>
      <c r="L25" s="9"/>
      <c r="M25" s="10">
        <v>169</v>
      </c>
    </row>
    <row r="26" spans="1:13" ht="11.85" customHeight="1" outlineLevel="3">
      <c r="A26" s="7"/>
      <c r="B26" s="8"/>
      <c r="C26" s="6"/>
      <c r="D26" s="6" t="s">
        <v>32</v>
      </c>
      <c r="E26" s="5">
        <v>62</v>
      </c>
      <c r="F26" s="701" t="s">
        <v>407</v>
      </c>
      <c r="G26" s="701"/>
      <c r="H26" s="6" t="s">
        <v>382</v>
      </c>
      <c r="I26" s="6" t="s">
        <v>408</v>
      </c>
      <c r="J26" s="6" t="s">
        <v>410</v>
      </c>
      <c r="K26" s="9"/>
      <c r="L26" s="9"/>
      <c r="M26" s="10">
        <v>81</v>
      </c>
    </row>
    <row r="27" spans="1:13" ht="11.85" customHeight="1" outlineLevel="3">
      <c r="A27" s="7"/>
      <c r="B27" s="8"/>
      <c r="C27" s="6"/>
      <c r="D27" s="6" t="s">
        <v>32</v>
      </c>
      <c r="E27" s="5">
        <v>62</v>
      </c>
      <c r="F27" s="701" t="s">
        <v>407</v>
      </c>
      <c r="G27" s="701"/>
      <c r="H27" s="6" t="s">
        <v>382</v>
      </c>
      <c r="I27" s="6" t="s">
        <v>385</v>
      </c>
      <c r="J27" s="6" t="s">
        <v>410</v>
      </c>
      <c r="K27" s="9"/>
      <c r="L27" s="9"/>
      <c r="M27" s="10">
        <v>60</v>
      </c>
    </row>
    <row r="28" spans="1:13" ht="11.85" customHeight="1" outlineLevel="3">
      <c r="A28" s="7"/>
      <c r="B28" s="8"/>
      <c r="C28" s="6"/>
      <c r="D28" s="6" t="s">
        <v>32</v>
      </c>
      <c r="E28" s="5">
        <v>62</v>
      </c>
      <c r="F28" s="701" t="s">
        <v>407</v>
      </c>
      <c r="G28" s="701"/>
      <c r="H28" s="6" t="s">
        <v>382</v>
      </c>
      <c r="I28" s="6" t="s">
        <v>386</v>
      </c>
      <c r="J28" s="6" t="s">
        <v>410</v>
      </c>
      <c r="K28" s="9"/>
      <c r="L28" s="9"/>
      <c r="M28" s="10">
        <v>63</v>
      </c>
    </row>
    <row r="29" spans="1:13" ht="11.85" customHeight="1" outlineLevel="3">
      <c r="A29" s="7"/>
      <c r="B29" s="8"/>
      <c r="C29" s="6"/>
      <c r="D29" s="6" t="s">
        <v>32</v>
      </c>
      <c r="E29" s="5">
        <v>62</v>
      </c>
      <c r="F29" s="701" t="s">
        <v>407</v>
      </c>
      <c r="G29" s="701"/>
      <c r="H29" s="6" t="s">
        <v>382</v>
      </c>
      <c r="I29" s="6" t="s">
        <v>384</v>
      </c>
      <c r="J29" s="6" t="s">
        <v>410</v>
      </c>
      <c r="K29" s="9"/>
      <c r="L29" s="9"/>
      <c r="M29" s="10">
        <v>3</v>
      </c>
    </row>
    <row r="30" spans="1:13" ht="11.85" customHeight="1" outlineLevel="3">
      <c r="A30" s="7"/>
      <c r="B30" s="8"/>
      <c r="C30" s="6"/>
      <c r="D30" s="6" t="s">
        <v>33</v>
      </c>
      <c r="E30" s="5">
        <v>43</v>
      </c>
      <c r="F30" s="701" t="s">
        <v>412</v>
      </c>
      <c r="G30" s="701"/>
      <c r="H30" s="6"/>
      <c r="I30" s="6"/>
      <c r="J30" s="6"/>
      <c r="K30" s="9"/>
      <c r="L30" s="9"/>
      <c r="M30" s="9"/>
    </row>
    <row r="31" spans="1:13" ht="11.85" customHeight="1" outlineLevel="3">
      <c r="A31" s="7"/>
      <c r="B31" s="8"/>
      <c r="C31" s="6"/>
      <c r="D31" s="6" t="s">
        <v>34</v>
      </c>
      <c r="E31" s="5">
        <v>100</v>
      </c>
      <c r="F31" s="701" t="s">
        <v>413</v>
      </c>
      <c r="G31" s="701"/>
      <c r="H31" s="6"/>
      <c r="I31" s="6"/>
      <c r="J31" s="6"/>
      <c r="K31" s="9"/>
      <c r="L31" s="9"/>
      <c r="M31" s="9"/>
    </row>
    <row r="32" spans="1:13" ht="11.85" customHeight="1" outlineLevel="3">
      <c r="A32" s="7"/>
      <c r="B32" s="8"/>
      <c r="C32" s="6"/>
      <c r="D32" s="6" t="s">
        <v>35</v>
      </c>
      <c r="E32" s="5">
        <v>18</v>
      </c>
      <c r="F32" s="701" t="s">
        <v>414</v>
      </c>
      <c r="G32" s="701"/>
      <c r="H32" s="6"/>
      <c r="I32" s="6"/>
      <c r="J32" s="6"/>
      <c r="K32" s="9"/>
      <c r="L32" s="9"/>
      <c r="M32" s="9"/>
    </row>
    <row r="33" spans="1:13" ht="11.85" customHeight="1" outlineLevel="3">
      <c r="A33" s="7"/>
      <c r="B33" s="8"/>
      <c r="C33" s="6"/>
      <c r="D33" s="6" t="s">
        <v>29</v>
      </c>
      <c r="E33" s="5">
        <v>39</v>
      </c>
      <c r="F33" s="701" t="s">
        <v>415</v>
      </c>
      <c r="G33" s="701"/>
      <c r="H33" s="6"/>
      <c r="I33" s="6"/>
      <c r="J33" s="6"/>
      <c r="K33" s="9"/>
      <c r="L33" s="9"/>
      <c r="M33" s="9"/>
    </row>
    <row r="34" spans="1:13" ht="11.85" customHeight="1" outlineLevel="3">
      <c r="A34" s="7"/>
      <c r="B34" s="8"/>
      <c r="C34" s="6"/>
      <c r="D34" s="6" t="s">
        <v>28</v>
      </c>
      <c r="E34" s="5">
        <v>14</v>
      </c>
      <c r="F34" s="701" t="s">
        <v>416</v>
      </c>
      <c r="G34" s="701"/>
      <c r="H34" s="6"/>
      <c r="I34" s="6"/>
      <c r="J34" s="6"/>
      <c r="K34" s="9"/>
      <c r="L34" s="9"/>
      <c r="M34" s="9"/>
    </row>
    <row r="35" spans="1:13" ht="11.85" customHeight="1" outlineLevel="3">
      <c r="A35" s="7"/>
      <c r="B35" s="8"/>
      <c r="C35" s="6"/>
      <c r="D35" s="6" t="s">
        <v>68</v>
      </c>
      <c r="E35" s="5">
        <v>84</v>
      </c>
      <c r="F35" s="701" t="s">
        <v>417</v>
      </c>
      <c r="G35" s="701"/>
      <c r="H35" s="6"/>
      <c r="I35" s="6"/>
      <c r="J35" s="6"/>
      <c r="K35" s="9"/>
      <c r="L35" s="9"/>
      <c r="M35" s="9"/>
    </row>
    <row r="36" spans="1:13" ht="11.85" customHeight="1" outlineLevel="3">
      <c r="A36" s="7"/>
      <c r="B36" s="8"/>
      <c r="C36" s="6"/>
      <c r="D36" s="6" t="s">
        <v>69</v>
      </c>
      <c r="E36" s="5">
        <v>110</v>
      </c>
      <c r="F36" s="701" t="s">
        <v>418</v>
      </c>
      <c r="G36" s="701"/>
      <c r="H36" s="6"/>
      <c r="I36" s="6"/>
      <c r="J36" s="6"/>
      <c r="K36" s="9"/>
      <c r="L36" s="9"/>
      <c r="M36" s="9"/>
    </row>
    <row r="37" spans="1:13" ht="11.85" customHeight="1" outlineLevel="3">
      <c r="A37" s="7"/>
      <c r="B37" s="8"/>
      <c r="C37" s="6"/>
      <c r="D37" s="6" t="s">
        <v>70</v>
      </c>
      <c r="E37" s="5">
        <v>77</v>
      </c>
      <c r="F37" s="701" t="s">
        <v>419</v>
      </c>
      <c r="G37" s="701"/>
      <c r="H37" s="6"/>
      <c r="I37" s="6"/>
      <c r="J37" s="6"/>
      <c r="K37" s="9"/>
      <c r="L37" s="9"/>
      <c r="M37" s="9"/>
    </row>
    <row r="38" spans="1:13" ht="11.85" customHeight="1" outlineLevel="3">
      <c r="A38" s="7"/>
      <c r="B38" s="8"/>
      <c r="C38" s="6"/>
      <c r="D38" s="6" t="s">
        <v>84</v>
      </c>
      <c r="E38" s="5">
        <v>78</v>
      </c>
      <c r="F38" s="701" t="s">
        <v>420</v>
      </c>
      <c r="G38" s="701"/>
      <c r="H38" s="6"/>
      <c r="I38" s="6"/>
      <c r="J38" s="6"/>
      <c r="K38" s="9"/>
      <c r="L38" s="9"/>
      <c r="M38" s="9"/>
    </row>
    <row r="39" spans="1:13" ht="11.85" customHeight="1" outlineLevel="3">
      <c r="A39" s="7"/>
      <c r="B39" s="8"/>
      <c r="C39" s="6"/>
      <c r="D39" s="6" t="s">
        <v>22</v>
      </c>
      <c r="E39" s="5">
        <v>55</v>
      </c>
      <c r="F39" s="701" t="s">
        <v>421</v>
      </c>
      <c r="G39" s="701"/>
      <c r="H39" s="6"/>
      <c r="I39" s="6"/>
      <c r="J39" s="6"/>
      <c r="K39" s="9"/>
      <c r="L39" s="9"/>
      <c r="M39" s="10">
        <v>3</v>
      </c>
    </row>
    <row r="40" spans="1:13" ht="11.85" customHeight="1" outlineLevel="3">
      <c r="A40" s="7"/>
      <c r="B40" s="8"/>
      <c r="C40" s="6"/>
      <c r="D40" s="6" t="s">
        <v>23</v>
      </c>
      <c r="E40" s="5">
        <v>66</v>
      </c>
      <c r="F40" s="701" t="s">
        <v>422</v>
      </c>
      <c r="G40" s="701"/>
      <c r="H40" s="6"/>
      <c r="I40" s="6"/>
      <c r="J40" s="6"/>
      <c r="K40" s="9"/>
      <c r="L40" s="9"/>
      <c r="M40" s="10">
        <v>2</v>
      </c>
    </row>
    <row r="41" spans="1:13" ht="11.85" customHeight="1" outlineLevel="3">
      <c r="A41" s="7"/>
      <c r="B41" s="8"/>
      <c r="C41" s="6"/>
      <c r="D41" s="6" t="s">
        <v>24</v>
      </c>
      <c r="E41" s="5">
        <v>40</v>
      </c>
      <c r="F41" s="701" t="s">
        <v>423</v>
      </c>
      <c r="G41" s="701"/>
      <c r="H41" s="6"/>
      <c r="I41" s="6"/>
      <c r="J41" s="6"/>
      <c r="K41" s="9"/>
      <c r="L41" s="9"/>
      <c r="M41" s="10">
        <v>2</v>
      </c>
    </row>
    <row r="42" spans="1:13" ht="11.85" customHeight="1" outlineLevel="3">
      <c r="A42" s="7"/>
      <c r="B42" s="8"/>
      <c r="C42" s="6"/>
      <c r="D42" s="6" t="s">
        <v>25</v>
      </c>
      <c r="E42" s="5">
        <v>62</v>
      </c>
      <c r="F42" s="701" t="s">
        <v>424</v>
      </c>
      <c r="G42" s="701"/>
      <c r="H42" s="6"/>
      <c r="I42" s="6"/>
      <c r="J42" s="6"/>
      <c r="K42" s="9"/>
      <c r="L42" s="9"/>
      <c r="M42" s="10">
        <v>144</v>
      </c>
    </row>
    <row r="43" spans="1:13" ht="11.85" customHeight="1" outlineLevel="3">
      <c r="A43" s="7"/>
      <c r="B43" s="8"/>
      <c r="C43" s="6"/>
      <c r="D43" s="6" t="s">
        <v>26</v>
      </c>
      <c r="E43" s="5">
        <v>81</v>
      </c>
      <c r="F43" s="701" t="s">
        <v>425</v>
      </c>
      <c r="G43" s="701"/>
      <c r="H43" s="6"/>
      <c r="I43" s="6"/>
      <c r="J43" s="6"/>
      <c r="K43" s="9"/>
      <c r="L43" s="9"/>
      <c r="M43" s="10">
        <v>101</v>
      </c>
    </row>
    <row r="44" spans="1:13" ht="11.85" customHeight="1" outlineLevel="3">
      <c r="A44" s="7"/>
      <c r="B44" s="8"/>
      <c r="C44" s="6"/>
      <c r="D44" s="6" t="s">
        <v>49</v>
      </c>
      <c r="E44" s="5">
        <v>85</v>
      </c>
      <c r="F44" s="701" t="s">
        <v>426</v>
      </c>
      <c r="G44" s="701"/>
      <c r="H44" s="6"/>
      <c r="I44" s="6"/>
      <c r="J44" s="6"/>
      <c r="K44" s="9"/>
      <c r="L44" s="9"/>
      <c r="M44" s="9"/>
    </row>
    <row r="45" spans="1:13" ht="11.85" customHeight="1" outlineLevel="3">
      <c r="A45" s="7"/>
      <c r="B45" s="8"/>
      <c r="C45" s="6"/>
      <c r="D45" s="6" t="s">
        <v>52</v>
      </c>
      <c r="E45" s="5">
        <v>62</v>
      </c>
      <c r="F45" s="701" t="s">
        <v>427</v>
      </c>
      <c r="G45" s="701"/>
      <c r="H45" s="6"/>
      <c r="I45" s="6"/>
      <c r="J45" s="6"/>
      <c r="K45" s="9"/>
      <c r="L45" s="9"/>
      <c r="M45" s="9"/>
    </row>
    <row r="46" spans="1:13" ht="11.85" customHeight="1" outlineLevel="3">
      <c r="A46" s="7"/>
      <c r="B46" s="8"/>
      <c r="C46" s="6"/>
      <c r="D46" s="6" t="s">
        <v>50</v>
      </c>
      <c r="E46" s="5">
        <v>12</v>
      </c>
      <c r="F46" s="701" t="s">
        <v>428</v>
      </c>
      <c r="G46" s="701"/>
      <c r="H46" s="6"/>
      <c r="I46" s="6"/>
      <c r="J46" s="6"/>
      <c r="K46" s="9"/>
      <c r="L46" s="9"/>
      <c r="M46" s="9"/>
    </row>
    <row r="47" spans="1:13" ht="11.85" customHeight="1" outlineLevel="3">
      <c r="A47" s="7"/>
      <c r="B47" s="8"/>
      <c r="C47" s="6"/>
      <c r="D47" s="6" t="s">
        <v>51</v>
      </c>
      <c r="E47" s="5">
        <v>108</v>
      </c>
      <c r="F47" s="701" t="s">
        <v>429</v>
      </c>
      <c r="G47" s="701"/>
      <c r="H47" s="6"/>
      <c r="I47" s="6"/>
      <c r="J47" s="6"/>
      <c r="K47" s="9"/>
      <c r="L47" s="9"/>
      <c r="M47" s="9"/>
    </row>
    <row r="48" spans="1:13" ht="11.85" customHeight="1" outlineLevel="3">
      <c r="A48" s="7"/>
      <c r="B48" s="8"/>
      <c r="C48" s="6"/>
      <c r="D48" s="6" t="s">
        <v>27</v>
      </c>
      <c r="E48" s="5">
        <v>101</v>
      </c>
      <c r="F48" s="701" t="s">
        <v>430</v>
      </c>
      <c r="G48" s="701"/>
      <c r="H48" s="6"/>
      <c r="I48" s="6"/>
      <c r="J48" s="6"/>
      <c r="K48" s="9"/>
      <c r="L48" s="9"/>
      <c r="M48" s="9"/>
    </row>
    <row r="49" spans="1:13" ht="11.85" customHeight="1" outlineLevel="2">
      <c r="A49" s="700" t="s">
        <v>431</v>
      </c>
      <c r="B49" s="700"/>
      <c r="C49" s="700"/>
      <c r="D49" s="700"/>
      <c r="E49" s="700"/>
      <c r="F49" s="700"/>
      <c r="G49" s="700"/>
      <c r="H49" s="700"/>
      <c r="I49" s="700"/>
      <c r="J49" s="700"/>
      <c r="K49" s="700"/>
      <c r="L49" s="700"/>
      <c r="M49" s="700"/>
    </row>
    <row r="50" spans="1:13" ht="11.85" customHeight="1" outlineLevel="3">
      <c r="A50" s="7"/>
      <c r="B50" s="8"/>
      <c r="C50" s="6"/>
      <c r="D50" s="6" t="s">
        <v>54</v>
      </c>
      <c r="E50" s="5">
        <v>108</v>
      </c>
      <c r="F50" s="701" t="s">
        <v>432</v>
      </c>
      <c r="G50" s="701"/>
      <c r="H50" s="6"/>
      <c r="I50" s="6"/>
      <c r="J50" s="6"/>
      <c r="K50" s="9"/>
      <c r="L50" s="9"/>
      <c r="M50" s="10">
        <v>158</v>
      </c>
    </row>
    <row r="51" spans="1:13" ht="11.85" customHeight="1" outlineLevel="3">
      <c r="A51" s="7"/>
      <c r="B51" s="8"/>
      <c r="C51" s="6"/>
      <c r="D51" s="6" t="s">
        <v>56</v>
      </c>
      <c r="E51" s="5">
        <v>23</v>
      </c>
      <c r="F51" s="701" t="s">
        <v>433</v>
      </c>
      <c r="G51" s="701"/>
      <c r="H51" s="6"/>
      <c r="I51" s="6"/>
      <c r="J51" s="6"/>
      <c r="K51" s="9"/>
      <c r="L51" s="9"/>
      <c r="M51" s="10">
        <v>15</v>
      </c>
    </row>
    <row r="52" spans="1:13" ht="11.85" customHeight="1" outlineLevel="3">
      <c r="A52" s="7"/>
      <c r="B52" s="8"/>
      <c r="C52" s="6"/>
      <c r="D52" s="6" t="s">
        <v>57</v>
      </c>
      <c r="E52" s="5">
        <v>23</v>
      </c>
      <c r="F52" s="701" t="s">
        <v>434</v>
      </c>
      <c r="G52" s="701"/>
      <c r="H52" s="6"/>
      <c r="I52" s="6"/>
      <c r="J52" s="6"/>
      <c r="K52" s="9"/>
      <c r="L52" s="9"/>
      <c r="M52" s="10">
        <v>22</v>
      </c>
    </row>
    <row r="53" spans="1:13" ht="11.85" customHeight="1" outlineLevel="3">
      <c r="A53" s="7"/>
      <c r="B53" s="8"/>
      <c r="C53" s="6"/>
      <c r="D53" s="6" t="s">
        <v>58</v>
      </c>
      <c r="E53" s="5">
        <v>78</v>
      </c>
      <c r="F53" s="701" t="s">
        <v>435</v>
      </c>
      <c r="G53" s="701"/>
      <c r="H53" s="6"/>
      <c r="I53" s="6"/>
      <c r="J53" s="6"/>
      <c r="K53" s="9"/>
      <c r="L53" s="9"/>
      <c r="M53" s="10">
        <v>7</v>
      </c>
    </row>
    <row r="54" spans="1:13" ht="11.85" customHeight="1" outlineLevel="3">
      <c r="A54" s="7"/>
      <c r="B54" s="8"/>
      <c r="C54" s="6"/>
      <c r="D54" s="6" t="s">
        <v>55</v>
      </c>
      <c r="E54" s="5">
        <v>16</v>
      </c>
      <c r="F54" s="701" t="s">
        <v>436</v>
      </c>
      <c r="G54" s="701"/>
      <c r="H54" s="6"/>
      <c r="I54" s="6"/>
      <c r="J54" s="6"/>
      <c r="K54" s="9"/>
      <c r="L54" s="9"/>
      <c r="M54" s="10">
        <v>115</v>
      </c>
    </row>
    <row r="55" spans="1:13" ht="11.85" customHeight="1" outlineLevel="3">
      <c r="A55" s="7"/>
      <c r="B55" s="8"/>
      <c r="C55" s="6"/>
      <c r="D55" s="6" t="s">
        <v>53</v>
      </c>
      <c r="E55" s="5">
        <v>90</v>
      </c>
      <c r="F55" s="701" t="s">
        <v>437</v>
      </c>
      <c r="G55" s="701"/>
      <c r="H55" s="6"/>
      <c r="I55" s="6"/>
      <c r="J55" s="6"/>
      <c r="K55" s="9"/>
      <c r="L55" s="9"/>
      <c r="M55" s="10">
        <v>29</v>
      </c>
    </row>
    <row r="56" spans="1:13" ht="11.85" customHeight="1" outlineLevel="3">
      <c r="A56" s="7"/>
      <c r="B56" s="8"/>
      <c r="C56" s="6"/>
      <c r="D56" s="6" t="s">
        <v>21</v>
      </c>
      <c r="E56" s="5">
        <v>62</v>
      </c>
      <c r="F56" s="701" t="s">
        <v>438</v>
      </c>
      <c r="G56" s="701"/>
      <c r="H56" s="6"/>
      <c r="I56" s="6"/>
      <c r="J56" s="6"/>
      <c r="K56" s="9"/>
      <c r="L56" s="9"/>
      <c r="M56" s="10">
        <v>11</v>
      </c>
    </row>
    <row r="57" spans="1:13" ht="11.85" customHeight="1" outlineLevel="3">
      <c r="A57" s="7"/>
      <c r="B57" s="8"/>
      <c r="C57" s="6"/>
      <c r="D57" s="6" t="s">
        <v>43</v>
      </c>
      <c r="E57" s="5">
        <v>125</v>
      </c>
      <c r="F57" s="701" t="s">
        <v>439</v>
      </c>
      <c r="G57" s="701"/>
      <c r="H57" s="6"/>
      <c r="I57" s="6"/>
      <c r="J57" s="6"/>
      <c r="K57" s="9"/>
      <c r="L57" s="9"/>
      <c r="M57" s="10">
        <v>385</v>
      </c>
    </row>
    <row r="58" spans="1:13" ht="11.85" customHeight="1" outlineLevel="3">
      <c r="A58" s="7"/>
      <c r="B58" s="8"/>
      <c r="C58" s="6"/>
      <c r="D58" s="6" t="s">
        <v>42</v>
      </c>
      <c r="E58" s="5">
        <v>125</v>
      </c>
      <c r="F58" s="701" t="s">
        <v>440</v>
      </c>
      <c r="G58" s="701"/>
      <c r="H58" s="6"/>
      <c r="I58" s="6"/>
      <c r="J58" s="6"/>
      <c r="K58" s="9"/>
      <c r="L58" s="9"/>
      <c r="M58" s="10">
        <v>213</v>
      </c>
    </row>
    <row r="59" spans="1:13" ht="11.85" customHeight="1" outlineLevel="3">
      <c r="A59" s="7"/>
      <c r="B59" s="8"/>
      <c r="C59" s="6"/>
      <c r="D59" s="6" t="s">
        <v>45</v>
      </c>
      <c r="E59" s="5">
        <v>125</v>
      </c>
      <c r="F59" s="701" t="s">
        <v>441</v>
      </c>
      <c r="G59" s="701"/>
      <c r="H59" s="6"/>
      <c r="I59" s="6"/>
      <c r="J59" s="6"/>
      <c r="K59" s="9"/>
      <c r="L59" s="9"/>
      <c r="M59" s="10">
        <v>279</v>
      </c>
    </row>
    <row r="60" spans="1:13" ht="11.85" customHeight="1" outlineLevel="3">
      <c r="A60" s="7"/>
      <c r="B60" s="8"/>
      <c r="C60" s="6"/>
      <c r="D60" s="6" t="s">
        <v>46</v>
      </c>
      <c r="E60" s="5">
        <v>122</v>
      </c>
      <c r="F60" s="701" t="s">
        <v>442</v>
      </c>
      <c r="G60" s="701"/>
      <c r="H60" s="6"/>
      <c r="I60" s="6"/>
      <c r="J60" s="6"/>
      <c r="K60" s="9"/>
      <c r="L60" s="9"/>
      <c r="M60" s="10">
        <v>266</v>
      </c>
    </row>
    <row r="61" spans="1:13" ht="11.85" customHeight="1" outlineLevel="3">
      <c r="A61" s="7"/>
      <c r="B61" s="8"/>
      <c r="C61" s="6"/>
      <c r="D61" s="6"/>
      <c r="E61" s="6"/>
      <c r="F61" s="701" t="s">
        <v>443</v>
      </c>
      <c r="G61" s="701"/>
      <c r="H61" s="6"/>
      <c r="I61" s="6"/>
      <c r="J61" s="6"/>
      <c r="K61" s="9"/>
      <c r="L61" s="9"/>
      <c r="M61" s="10">
        <v>377</v>
      </c>
    </row>
    <row r="62" spans="1:13" ht="11.85" customHeight="1" outlineLevel="3">
      <c r="A62" s="7"/>
      <c r="B62" s="8"/>
      <c r="C62" s="6"/>
      <c r="D62" s="6" t="s">
        <v>41</v>
      </c>
      <c r="E62" s="5">
        <v>26</v>
      </c>
      <c r="F62" s="701" t="s">
        <v>438</v>
      </c>
      <c r="G62" s="701"/>
      <c r="H62" s="6"/>
      <c r="I62" s="6"/>
      <c r="J62" s="6"/>
      <c r="K62" s="9"/>
      <c r="L62" s="9"/>
      <c r="M62" s="10">
        <v>116</v>
      </c>
    </row>
    <row r="63" spans="1:13" ht="11.85" customHeight="1" outlineLevel="3">
      <c r="A63" s="7"/>
      <c r="B63" s="8"/>
      <c r="C63" s="6"/>
      <c r="D63" s="6" t="s">
        <v>47</v>
      </c>
      <c r="E63" s="5">
        <v>52</v>
      </c>
      <c r="F63" s="701" t="s">
        <v>444</v>
      </c>
      <c r="G63" s="701"/>
      <c r="H63" s="6"/>
      <c r="I63" s="6"/>
      <c r="J63" s="6"/>
      <c r="K63" s="9"/>
      <c r="L63" s="9"/>
      <c r="M63" s="10">
        <v>411</v>
      </c>
    </row>
    <row r="64" spans="1:13" ht="11.85" customHeight="1" outlineLevel="3">
      <c r="A64" s="7"/>
      <c r="B64" s="8"/>
      <c r="C64" s="6"/>
      <c r="D64" s="6" t="s">
        <v>44</v>
      </c>
      <c r="E64" s="5">
        <v>45</v>
      </c>
      <c r="F64" s="701" t="s">
        <v>445</v>
      </c>
      <c r="G64" s="701"/>
      <c r="H64" s="6"/>
      <c r="I64" s="6"/>
      <c r="J64" s="6"/>
      <c r="K64" s="9"/>
      <c r="L64" s="9"/>
      <c r="M64" s="10">
        <v>199</v>
      </c>
    </row>
    <row r="65" spans="1:13" ht="11.85" customHeight="1" outlineLevel="3">
      <c r="A65" s="7"/>
      <c r="B65" s="8"/>
      <c r="C65" s="6"/>
      <c r="D65" s="6" t="s">
        <v>48</v>
      </c>
      <c r="E65" s="5">
        <v>50</v>
      </c>
      <c r="F65" s="701" t="s">
        <v>446</v>
      </c>
      <c r="G65" s="701"/>
      <c r="H65" s="6"/>
      <c r="I65" s="6"/>
      <c r="J65" s="6"/>
      <c r="K65" s="9"/>
      <c r="L65" s="9"/>
      <c r="M65" s="9"/>
    </row>
    <row r="66" spans="1:13" ht="11.85" customHeight="1" outlineLevel="3">
      <c r="A66" s="7"/>
      <c r="B66" s="8"/>
      <c r="C66" s="6"/>
      <c r="D66" s="6" t="s">
        <v>80</v>
      </c>
      <c r="E66" s="5">
        <v>100</v>
      </c>
      <c r="F66" s="701" t="s">
        <v>447</v>
      </c>
      <c r="G66" s="701"/>
      <c r="H66" s="6"/>
      <c r="I66" s="6"/>
      <c r="J66" s="6"/>
      <c r="K66" s="9"/>
      <c r="L66" s="9"/>
      <c r="M66" s="9"/>
    </row>
    <row r="67" spans="1:13" ht="11.85" customHeight="1" outlineLevel="3">
      <c r="A67" s="7"/>
      <c r="B67" s="8"/>
      <c r="C67" s="6"/>
      <c r="D67" s="6" t="s">
        <v>78</v>
      </c>
      <c r="E67" s="5">
        <v>82</v>
      </c>
      <c r="F67" s="701" t="s">
        <v>448</v>
      </c>
      <c r="G67" s="701"/>
      <c r="H67" s="6"/>
      <c r="I67" s="6"/>
      <c r="J67" s="6"/>
      <c r="K67" s="9"/>
      <c r="L67" s="9"/>
      <c r="M67" s="9"/>
    </row>
    <row r="68" spans="1:13" ht="11.85" customHeight="1" outlineLevel="3">
      <c r="A68" s="7"/>
      <c r="B68" s="8"/>
      <c r="C68" s="6"/>
      <c r="D68" s="6" t="s">
        <v>77</v>
      </c>
      <c r="E68" s="5">
        <v>100</v>
      </c>
      <c r="F68" s="701" t="s">
        <v>449</v>
      </c>
      <c r="G68" s="701"/>
      <c r="H68" s="6"/>
      <c r="I68" s="6"/>
      <c r="J68" s="6"/>
      <c r="K68" s="9"/>
      <c r="L68" s="9"/>
      <c r="M68" s="9"/>
    </row>
    <row r="69" spans="1:13" ht="11.85" customHeight="1" outlineLevel="3">
      <c r="A69" s="7"/>
      <c r="B69" s="8"/>
      <c r="C69" s="6"/>
      <c r="D69" s="6" t="s">
        <v>62</v>
      </c>
      <c r="E69" s="5">
        <v>93</v>
      </c>
      <c r="F69" s="701" t="s">
        <v>450</v>
      </c>
      <c r="G69" s="701"/>
      <c r="H69" s="6"/>
      <c r="I69" s="6"/>
      <c r="J69" s="6"/>
      <c r="K69" s="9"/>
      <c r="L69" s="9"/>
      <c r="M69" s="10">
        <v>71</v>
      </c>
    </row>
    <row r="70" spans="1:13" ht="11.85" customHeight="1" outlineLevel="3">
      <c r="A70" s="7"/>
      <c r="B70" s="8"/>
      <c r="C70" s="6"/>
      <c r="D70" s="6" t="s">
        <v>61</v>
      </c>
      <c r="E70" s="5">
        <v>93</v>
      </c>
      <c r="F70" s="701" t="s">
        <v>451</v>
      </c>
      <c r="G70" s="701"/>
      <c r="H70" s="6"/>
      <c r="I70" s="6"/>
      <c r="J70" s="6"/>
      <c r="K70" s="9"/>
      <c r="L70" s="9"/>
      <c r="M70" s="10">
        <v>36</v>
      </c>
    </row>
    <row r="71" spans="1:13" ht="11.85" customHeight="1" outlineLevel="3">
      <c r="A71" s="7"/>
      <c r="B71" s="8"/>
      <c r="C71" s="6"/>
      <c r="D71" s="6" t="s">
        <v>38</v>
      </c>
      <c r="E71" s="5">
        <v>69</v>
      </c>
      <c r="F71" s="701" t="s">
        <v>452</v>
      </c>
      <c r="G71" s="701"/>
      <c r="H71" s="6"/>
      <c r="I71" s="6"/>
      <c r="J71" s="6"/>
      <c r="K71" s="9"/>
      <c r="L71" s="9"/>
      <c r="M71" s="9"/>
    </row>
    <row r="72" spans="1:13" ht="11.85" customHeight="1" outlineLevel="3">
      <c r="A72" s="7"/>
      <c r="B72" s="8"/>
      <c r="C72" s="6"/>
      <c r="D72" s="6" t="s">
        <v>37</v>
      </c>
      <c r="E72" s="5">
        <v>81</v>
      </c>
      <c r="F72" s="701" t="s">
        <v>453</v>
      </c>
      <c r="G72" s="701"/>
      <c r="H72" s="6"/>
      <c r="I72" s="6"/>
      <c r="J72" s="6"/>
      <c r="K72" s="9"/>
      <c r="L72" s="9"/>
      <c r="M72" s="9"/>
    </row>
    <row r="73" spans="1:13" ht="11.85" customHeight="1" outlineLevel="3">
      <c r="A73" s="7"/>
      <c r="B73" s="8"/>
      <c r="C73" s="6"/>
      <c r="D73" s="6" t="s">
        <v>65</v>
      </c>
      <c r="E73" s="5">
        <v>7</v>
      </c>
      <c r="F73" s="701" t="s">
        <v>454</v>
      </c>
      <c r="G73" s="701"/>
      <c r="H73" s="6"/>
      <c r="I73" s="6"/>
      <c r="J73" s="6"/>
      <c r="K73" s="9"/>
      <c r="L73" s="9"/>
      <c r="M73" s="9"/>
    </row>
    <row r="74" spans="1:13" ht="11.85" customHeight="1" outlineLevel="3">
      <c r="A74" s="7"/>
      <c r="B74" s="8"/>
      <c r="C74" s="6"/>
      <c r="D74" s="6" t="s">
        <v>66</v>
      </c>
      <c r="E74" s="5">
        <v>106</v>
      </c>
      <c r="F74" s="701" t="s">
        <v>455</v>
      </c>
      <c r="G74" s="701"/>
      <c r="H74" s="6"/>
      <c r="I74" s="6"/>
      <c r="J74" s="6"/>
      <c r="K74" s="9"/>
      <c r="L74" s="9"/>
      <c r="M74" s="9"/>
    </row>
    <row r="75" spans="1:13" ht="11.85" customHeight="1" outlineLevel="3">
      <c r="A75" s="7"/>
      <c r="B75" s="8"/>
      <c r="C75" s="6"/>
      <c r="D75" s="6" t="s">
        <v>67</v>
      </c>
      <c r="E75" s="5">
        <v>83</v>
      </c>
      <c r="F75" s="701" t="s">
        <v>456</v>
      </c>
      <c r="G75" s="701"/>
      <c r="H75" s="6"/>
      <c r="I75" s="6"/>
      <c r="J75" s="6"/>
      <c r="K75" s="9"/>
      <c r="L75" s="9"/>
      <c r="M75" s="9"/>
    </row>
    <row r="76" spans="1:13" ht="11.85" customHeight="1" outlineLevel="3">
      <c r="A76" s="7"/>
      <c r="B76" s="8"/>
      <c r="C76" s="6"/>
      <c r="D76" s="6" t="s">
        <v>72</v>
      </c>
      <c r="E76" s="5">
        <v>90</v>
      </c>
      <c r="F76" s="701" t="s">
        <v>457</v>
      </c>
      <c r="G76" s="701"/>
      <c r="H76" s="6"/>
      <c r="I76" s="6"/>
      <c r="J76" s="6"/>
      <c r="K76" s="9"/>
      <c r="L76" s="9"/>
      <c r="M76" s="10">
        <v>68</v>
      </c>
    </row>
    <row r="77" spans="1:13" ht="11.85" customHeight="1" outlineLevel="3">
      <c r="A77" s="7"/>
      <c r="B77" s="8"/>
      <c r="C77" s="6"/>
      <c r="D77" s="6" t="s">
        <v>73</v>
      </c>
      <c r="E77" s="5">
        <v>79</v>
      </c>
      <c r="F77" s="701" t="s">
        <v>458</v>
      </c>
      <c r="G77" s="701"/>
      <c r="H77" s="6"/>
      <c r="I77" s="6"/>
      <c r="J77" s="6"/>
      <c r="K77" s="9"/>
      <c r="L77" s="9"/>
      <c r="M77" s="10">
        <v>144</v>
      </c>
    </row>
    <row r="78" spans="1:13" ht="11.85" customHeight="1" outlineLevel="3">
      <c r="A78" s="7"/>
      <c r="B78" s="8"/>
      <c r="C78" s="6"/>
      <c r="D78" s="6" t="s">
        <v>74</v>
      </c>
      <c r="E78" s="5">
        <v>43</v>
      </c>
      <c r="F78" s="701" t="s">
        <v>459</v>
      </c>
      <c r="G78" s="701"/>
      <c r="H78" s="6"/>
      <c r="I78" s="6"/>
      <c r="J78" s="6"/>
      <c r="K78" s="9"/>
      <c r="L78" s="9"/>
      <c r="M78" s="10">
        <v>44</v>
      </c>
    </row>
    <row r="79" spans="1:13" ht="11.85" customHeight="1" outlineLevel="3">
      <c r="A79" s="7"/>
      <c r="B79" s="8"/>
      <c r="C79" s="6"/>
      <c r="D79" s="6" t="s">
        <v>75</v>
      </c>
      <c r="E79" s="5">
        <v>73</v>
      </c>
      <c r="F79" s="701" t="s">
        <v>460</v>
      </c>
      <c r="G79" s="701"/>
      <c r="H79" s="6"/>
      <c r="I79" s="6"/>
      <c r="J79" s="6"/>
      <c r="K79" s="9"/>
      <c r="L79" s="9"/>
      <c r="M79" s="10">
        <v>2</v>
      </c>
    </row>
    <row r="80" spans="1:13" ht="11.85" customHeight="1" outlineLevel="3">
      <c r="A80" s="7"/>
      <c r="B80" s="8"/>
      <c r="C80" s="6"/>
      <c r="D80" s="6" t="s">
        <v>76</v>
      </c>
      <c r="E80" s="5">
        <v>5</v>
      </c>
      <c r="F80" s="701" t="s">
        <v>461</v>
      </c>
      <c r="G80" s="701"/>
      <c r="H80" s="6"/>
      <c r="I80" s="6"/>
      <c r="J80" s="6"/>
      <c r="K80" s="9"/>
      <c r="L80" s="9"/>
      <c r="M80" s="9"/>
    </row>
    <row r="81" spans="1:13" ht="11.85" customHeight="1" outlineLevel="3">
      <c r="A81" s="7"/>
      <c r="B81" s="8"/>
      <c r="C81" s="6"/>
      <c r="D81" s="6" t="s">
        <v>81</v>
      </c>
      <c r="E81" s="5">
        <v>90</v>
      </c>
      <c r="F81" s="701" t="s">
        <v>462</v>
      </c>
      <c r="G81" s="701"/>
      <c r="H81" s="6"/>
      <c r="I81" s="6"/>
      <c r="J81" s="6"/>
      <c r="K81" s="9"/>
      <c r="L81" s="9"/>
      <c r="M81" s="9"/>
    </row>
    <row r="82" spans="1:13" ht="11.85" customHeight="1" outlineLevel="3">
      <c r="A82" s="7"/>
      <c r="B82" s="8"/>
      <c r="C82" s="6"/>
      <c r="D82" s="6" t="s">
        <v>79</v>
      </c>
      <c r="E82" s="5">
        <v>79</v>
      </c>
      <c r="F82" s="701" t="s">
        <v>463</v>
      </c>
      <c r="G82" s="701"/>
      <c r="H82" s="6"/>
      <c r="I82" s="6"/>
      <c r="J82" s="6"/>
      <c r="K82" s="9"/>
      <c r="L82" s="9"/>
      <c r="M82" s="9"/>
    </row>
    <row r="83" spans="1:13" ht="11.85" customHeight="1" outlineLevel="3">
      <c r="A83" s="7"/>
      <c r="B83" s="8"/>
      <c r="C83" s="6"/>
      <c r="D83" s="6" t="s">
        <v>64</v>
      </c>
      <c r="E83" s="5">
        <v>73</v>
      </c>
      <c r="F83" s="701" t="s">
        <v>450</v>
      </c>
      <c r="G83" s="701"/>
      <c r="H83" s="6"/>
      <c r="I83" s="6"/>
      <c r="J83" s="6"/>
      <c r="K83" s="9"/>
      <c r="L83" s="9"/>
      <c r="M83" s="10">
        <v>148</v>
      </c>
    </row>
    <row r="84" spans="1:13" ht="11.85" customHeight="1" outlineLevel="3">
      <c r="A84" s="7"/>
      <c r="B84" s="8"/>
      <c r="C84" s="6"/>
      <c r="D84" s="6" t="s">
        <v>36</v>
      </c>
      <c r="E84" s="5">
        <v>64</v>
      </c>
      <c r="F84" s="701" t="s">
        <v>464</v>
      </c>
      <c r="G84" s="701"/>
      <c r="H84" s="6"/>
      <c r="I84" s="6"/>
      <c r="J84" s="6"/>
      <c r="K84" s="9"/>
      <c r="L84" s="9"/>
      <c r="M84" s="9"/>
    </row>
    <row r="85" spans="1:13" ht="11.85" customHeight="1" outlineLevel="3">
      <c r="A85" s="7"/>
      <c r="B85" s="8"/>
      <c r="C85" s="6"/>
      <c r="D85" s="6" t="s">
        <v>39</v>
      </c>
      <c r="E85" s="5">
        <v>86</v>
      </c>
      <c r="F85" s="701" t="s">
        <v>465</v>
      </c>
      <c r="G85" s="701"/>
      <c r="H85" s="6"/>
      <c r="I85" s="6"/>
      <c r="J85" s="6"/>
      <c r="K85" s="9"/>
      <c r="L85" s="9"/>
      <c r="M85" s="9"/>
    </row>
    <row r="86" spans="1:13" ht="11.85" customHeight="1" outlineLevel="3">
      <c r="A86" s="7"/>
      <c r="B86" s="8"/>
      <c r="C86" s="6"/>
      <c r="D86" s="6" t="s">
        <v>40</v>
      </c>
      <c r="E86" s="5">
        <v>9</v>
      </c>
      <c r="F86" s="701" t="s">
        <v>466</v>
      </c>
      <c r="G86" s="701"/>
      <c r="H86" s="6"/>
      <c r="I86" s="6"/>
      <c r="J86" s="6"/>
      <c r="K86" s="9"/>
      <c r="L86" s="9"/>
      <c r="M86" s="9"/>
    </row>
    <row r="87" spans="1:13" ht="11.85" customHeight="1" outlineLevel="3">
      <c r="A87" s="7"/>
      <c r="B87" s="8"/>
      <c r="C87" s="6"/>
      <c r="D87" s="6" t="s">
        <v>71</v>
      </c>
      <c r="E87" s="5">
        <v>89</v>
      </c>
      <c r="F87" s="701" t="s">
        <v>467</v>
      </c>
      <c r="G87" s="701"/>
      <c r="H87" s="6"/>
      <c r="I87" s="6"/>
      <c r="J87" s="6"/>
      <c r="K87" s="9"/>
      <c r="L87" s="9"/>
      <c r="M87" s="9"/>
    </row>
    <row r="88" spans="1:13" ht="11.85" customHeight="1" outlineLevel="3">
      <c r="A88" s="7"/>
      <c r="B88" s="8"/>
      <c r="C88" s="6"/>
      <c r="D88" s="6" t="s">
        <v>82</v>
      </c>
      <c r="E88" s="5">
        <v>5</v>
      </c>
      <c r="F88" s="701" t="s">
        <v>468</v>
      </c>
      <c r="G88" s="701"/>
      <c r="H88" s="6"/>
      <c r="I88" s="6"/>
      <c r="J88" s="6"/>
      <c r="K88" s="9"/>
      <c r="L88" s="9"/>
      <c r="M88" s="9"/>
    </row>
    <row r="89" spans="1:13" ht="11.85" customHeight="1" outlineLevel="3">
      <c r="A89" s="7"/>
      <c r="B89" s="8"/>
      <c r="C89" s="6"/>
      <c r="D89" s="6" t="s">
        <v>63</v>
      </c>
      <c r="E89" s="5">
        <v>59</v>
      </c>
      <c r="F89" s="701" t="s">
        <v>469</v>
      </c>
      <c r="G89" s="701"/>
      <c r="H89" s="6"/>
      <c r="I89" s="6"/>
      <c r="J89" s="6"/>
      <c r="K89" s="9"/>
      <c r="L89" s="9"/>
      <c r="M89" s="9"/>
    </row>
    <row r="90" spans="1:13" ht="11.85" customHeight="1" outlineLevel="3">
      <c r="A90" s="7"/>
      <c r="B90" s="8"/>
      <c r="C90" s="6"/>
      <c r="D90" s="6" t="s">
        <v>83</v>
      </c>
      <c r="E90" s="5">
        <v>15</v>
      </c>
      <c r="F90" s="701" t="s">
        <v>470</v>
      </c>
      <c r="G90" s="701"/>
      <c r="H90" s="6"/>
      <c r="I90" s="6"/>
      <c r="J90" s="6"/>
      <c r="K90" s="9"/>
      <c r="L90" s="9"/>
      <c r="M90" s="9"/>
    </row>
    <row r="91" spans="1:13" ht="11.85" customHeight="1" outlineLevel="1">
      <c r="A91" s="699" t="s">
        <v>85</v>
      </c>
      <c r="B91" s="699"/>
      <c r="C91" s="699"/>
      <c r="D91" s="699"/>
      <c r="E91" s="699"/>
      <c r="F91" s="699"/>
      <c r="G91" s="699"/>
      <c r="H91" s="699"/>
      <c r="I91" s="699"/>
      <c r="J91" s="699"/>
      <c r="K91" s="699"/>
      <c r="L91" s="699"/>
      <c r="M91" s="699"/>
    </row>
    <row r="92" spans="1:13" ht="11.85" customHeight="1" outlineLevel="2">
      <c r="A92" s="700" t="s">
        <v>471</v>
      </c>
      <c r="B92" s="700"/>
      <c r="C92" s="700"/>
      <c r="D92" s="700"/>
      <c r="E92" s="700"/>
      <c r="F92" s="700"/>
      <c r="G92" s="700"/>
      <c r="H92" s="700"/>
      <c r="I92" s="700"/>
      <c r="J92" s="700"/>
      <c r="K92" s="700"/>
      <c r="L92" s="700"/>
      <c r="M92" s="700"/>
    </row>
    <row r="93" spans="1:13" ht="11.85" customHeight="1" outlineLevel="3">
      <c r="A93" s="7"/>
      <c r="B93" s="8"/>
      <c r="C93" s="6"/>
      <c r="D93" s="6" t="s">
        <v>101</v>
      </c>
      <c r="E93" s="5">
        <v>36</v>
      </c>
      <c r="F93" s="701" t="s">
        <v>472</v>
      </c>
      <c r="G93" s="701"/>
      <c r="H93" s="6"/>
      <c r="I93" s="6"/>
      <c r="J93" s="6"/>
      <c r="K93" s="9"/>
      <c r="L93" s="9"/>
      <c r="M93" s="9"/>
    </row>
    <row r="94" spans="1:13" ht="11.85" customHeight="1" outlineLevel="3">
      <c r="A94" s="7"/>
      <c r="B94" s="8"/>
      <c r="C94" s="6"/>
      <c r="D94" s="6" t="s">
        <v>102</v>
      </c>
      <c r="E94" s="5">
        <v>36</v>
      </c>
      <c r="F94" s="701" t="s">
        <v>473</v>
      </c>
      <c r="G94" s="701"/>
      <c r="H94" s="6"/>
      <c r="I94" s="6"/>
      <c r="J94" s="6"/>
      <c r="K94" s="9"/>
      <c r="L94" s="9"/>
      <c r="M94" s="9"/>
    </row>
    <row r="95" spans="1:13" ht="11.85" customHeight="1" outlineLevel="3">
      <c r="A95" s="7"/>
      <c r="B95" s="8"/>
      <c r="C95" s="6"/>
      <c r="D95" s="6" t="s">
        <v>103</v>
      </c>
      <c r="E95" s="5">
        <v>14</v>
      </c>
      <c r="F95" s="701" t="s">
        <v>474</v>
      </c>
      <c r="G95" s="701"/>
      <c r="H95" s="6"/>
      <c r="I95" s="6"/>
      <c r="J95" s="6"/>
      <c r="K95" s="9"/>
      <c r="L95" s="9"/>
      <c r="M95" s="9"/>
    </row>
    <row r="96" spans="1:13" ht="11.85" customHeight="1" outlineLevel="3">
      <c r="A96" s="7"/>
      <c r="B96" s="8"/>
      <c r="C96" s="6"/>
      <c r="D96" s="6" t="s">
        <v>104</v>
      </c>
      <c r="E96" s="5">
        <v>85</v>
      </c>
      <c r="F96" s="701" t="s">
        <v>475</v>
      </c>
      <c r="G96" s="701"/>
      <c r="H96" s="6"/>
      <c r="I96" s="6"/>
      <c r="J96" s="6"/>
      <c r="K96" s="9"/>
      <c r="L96" s="9"/>
      <c r="M96" s="9"/>
    </row>
    <row r="97" spans="1:13" ht="11.85" customHeight="1" outlineLevel="3">
      <c r="A97" s="7"/>
      <c r="B97" s="8"/>
      <c r="C97" s="6"/>
      <c r="D97" s="6" t="s">
        <v>105</v>
      </c>
      <c r="E97" s="5">
        <v>86</v>
      </c>
      <c r="F97" s="701" t="s">
        <v>476</v>
      </c>
      <c r="G97" s="701"/>
      <c r="H97" s="6"/>
      <c r="I97" s="6"/>
      <c r="J97" s="6"/>
      <c r="K97" s="9"/>
      <c r="L97" s="9"/>
      <c r="M97" s="9"/>
    </row>
    <row r="98" spans="1:13" ht="11.85" customHeight="1" outlineLevel="3">
      <c r="A98" s="7"/>
      <c r="B98" s="8"/>
      <c r="C98" s="6"/>
      <c r="D98" s="6" t="s">
        <v>129</v>
      </c>
      <c r="E98" s="5">
        <v>37</v>
      </c>
      <c r="F98" s="701" t="s">
        <v>477</v>
      </c>
      <c r="G98" s="701"/>
      <c r="H98" s="6"/>
      <c r="I98" s="6"/>
      <c r="J98" s="6"/>
      <c r="K98" s="9"/>
      <c r="L98" s="9"/>
      <c r="M98" s="9"/>
    </row>
    <row r="99" spans="1:13" ht="11.85" customHeight="1" outlineLevel="3">
      <c r="A99" s="7"/>
      <c r="B99" s="8"/>
      <c r="C99" s="6"/>
      <c r="D99" s="6" t="s">
        <v>110</v>
      </c>
      <c r="E99" s="5">
        <v>73</v>
      </c>
      <c r="F99" s="701" t="s">
        <v>478</v>
      </c>
      <c r="G99" s="701"/>
      <c r="H99" s="6"/>
      <c r="I99" s="6"/>
      <c r="J99" s="6"/>
      <c r="K99" s="9"/>
      <c r="L99" s="9"/>
      <c r="M99" s="10">
        <v>55</v>
      </c>
    </row>
    <row r="100" spans="1:13" ht="11.85" customHeight="1" outlineLevel="3">
      <c r="A100" s="7"/>
      <c r="B100" s="8"/>
      <c r="C100" s="6"/>
      <c r="D100" s="6" t="s">
        <v>111</v>
      </c>
      <c r="E100" s="5">
        <v>5</v>
      </c>
      <c r="F100" s="701" t="s">
        <v>479</v>
      </c>
      <c r="G100" s="701"/>
      <c r="H100" s="6"/>
      <c r="I100" s="6"/>
      <c r="J100" s="6"/>
      <c r="K100" s="9"/>
      <c r="L100" s="9"/>
      <c r="M100" s="10">
        <v>19</v>
      </c>
    </row>
    <row r="101" spans="1:13" ht="11.85" customHeight="1" outlineLevel="3">
      <c r="A101" s="7"/>
      <c r="B101" s="8"/>
      <c r="C101" s="6"/>
      <c r="D101" s="6" t="s">
        <v>113</v>
      </c>
      <c r="E101" s="5">
        <v>5</v>
      </c>
      <c r="F101" s="701" t="s">
        <v>480</v>
      </c>
      <c r="G101" s="701"/>
      <c r="H101" s="6"/>
      <c r="I101" s="6"/>
      <c r="J101" s="6"/>
      <c r="K101" s="9"/>
      <c r="L101" s="9"/>
      <c r="M101" s="10">
        <v>9</v>
      </c>
    </row>
    <row r="102" spans="1:13" ht="11.85" customHeight="1" outlineLevel="3">
      <c r="A102" s="7"/>
      <c r="B102" s="8"/>
      <c r="C102" s="6"/>
      <c r="D102" s="6" t="s">
        <v>109</v>
      </c>
      <c r="E102" s="5">
        <v>35</v>
      </c>
      <c r="F102" s="701" t="s">
        <v>481</v>
      </c>
      <c r="G102" s="701"/>
      <c r="H102" s="6"/>
      <c r="I102" s="6"/>
      <c r="J102" s="6"/>
      <c r="K102" s="9"/>
      <c r="L102" s="9"/>
      <c r="M102" s="10">
        <v>108</v>
      </c>
    </row>
    <row r="103" spans="1:13" ht="11.85" customHeight="1" outlineLevel="3">
      <c r="A103" s="7"/>
      <c r="B103" s="8"/>
      <c r="C103" s="6"/>
      <c r="D103" s="6" t="s">
        <v>112</v>
      </c>
      <c r="E103" s="5">
        <v>5</v>
      </c>
      <c r="F103" s="701" t="s">
        <v>482</v>
      </c>
      <c r="G103" s="701"/>
      <c r="H103" s="6"/>
      <c r="I103" s="6"/>
      <c r="J103" s="6"/>
      <c r="K103" s="9"/>
      <c r="L103" s="9"/>
      <c r="M103" s="10">
        <v>136</v>
      </c>
    </row>
    <row r="104" spans="1:13" ht="11.85" customHeight="1" outlineLevel="3">
      <c r="A104" s="7"/>
      <c r="B104" s="8"/>
      <c r="C104" s="6"/>
      <c r="D104" s="6" t="s">
        <v>76</v>
      </c>
      <c r="E104" s="5">
        <v>5</v>
      </c>
      <c r="F104" s="701" t="s">
        <v>483</v>
      </c>
      <c r="G104" s="701"/>
      <c r="H104" s="6"/>
      <c r="I104" s="6"/>
      <c r="J104" s="6"/>
      <c r="K104" s="9"/>
      <c r="L104" s="9"/>
      <c r="M104" s="10">
        <v>20</v>
      </c>
    </row>
    <row r="105" spans="1:13" ht="11.85" customHeight="1" outlineLevel="3">
      <c r="A105" s="7"/>
      <c r="B105" s="8"/>
      <c r="C105" s="6"/>
      <c r="D105" s="6" t="s">
        <v>115</v>
      </c>
      <c r="E105" s="5">
        <v>5</v>
      </c>
      <c r="F105" s="701" t="s">
        <v>484</v>
      </c>
      <c r="G105" s="701"/>
      <c r="H105" s="6"/>
      <c r="I105" s="6"/>
      <c r="J105" s="6"/>
      <c r="K105" s="9"/>
      <c r="L105" s="9"/>
      <c r="M105" s="10">
        <v>29</v>
      </c>
    </row>
    <row r="106" spans="1:13" ht="11.85" customHeight="1" outlineLevel="3">
      <c r="A106" s="7"/>
      <c r="B106" s="8"/>
      <c r="C106" s="6"/>
      <c r="D106" s="6" t="s">
        <v>82</v>
      </c>
      <c r="E106" s="5">
        <v>5</v>
      </c>
      <c r="F106" s="701" t="s">
        <v>485</v>
      </c>
      <c r="G106" s="701"/>
      <c r="H106" s="6"/>
      <c r="I106" s="6"/>
      <c r="J106" s="6"/>
      <c r="K106" s="9"/>
      <c r="L106" s="9"/>
      <c r="M106" s="10">
        <v>31</v>
      </c>
    </row>
    <row r="107" spans="1:13" ht="11.85" customHeight="1" outlineLevel="3">
      <c r="A107" s="7"/>
      <c r="B107" s="8"/>
      <c r="C107" s="6"/>
      <c r="D107" s="6" t="s">
        <v>114</v>
      </c>
      <c r="E107" s="5">
        <v>5</v>
      </c>
      <c r="F107" s="701" t="s">
        <v>486</v>
      </c>
      <c r="G107" s="701"/>
      <c r="H107" s="6"/>
      <c r="I107" s="6"/>
      <c r="J107" s="6"/>
      <c r="K107" s="9"/>
      <c r="L107" s="9"/>
      <c r="M107" s="10">
        <v>10</v>
      </c>
    </row>
    <row r="108" spans="1:13" ht="11.85" customHeight="1" outlineLevel="3">
      <c r="A108" s="7"/>
      <c r="B108" s="8"/>
      <c r="C108" s="6"/>
      <c r="D108" s="6" t="s">
        <v>119</v>
      </c>
      <c r="E108" s="5">
        <v>36</v>
      </c>
      <c r="F108" s="701" t="s">
        <v>487</v>
      </c>
      <c r="G108" s="701"/>
      <c r="H108" s="6"/>
      <c r="I108" s="6"/>
      <c r="J108" s="6"/>
      <c r="K108" s="9"/>
      <c r="L108" s="9"/>
      <c r="M108" s="9"/>
    </row>
    <row r="109" spans="1:13" ht="11.85" customHeight="1" outlineLevel="3">
      <c r="A109" s="7"/>
      <c r="B109" s="8"/>
      <c r="C109" s="6"/>
      <c r="D109" s="6" t="s">
        <v>90</v>
      </c>
      <c r="E109" s="5">
        <v>23</v>
      </c>
      <c r="F109" s="701" t="s">
        <v>488</v>
      </c>
      <c r="G109" s="701"/>
      <c r="H109" s="6"/>
      <c r="I109" s="6"/>
      <c r="J109" s="6"/>
      <c r="K109" s="9"/>
      <c r="L109" s="9"/>
      <c r="M109" s="9"/>
    </row>
    <row r="110" spans="1:13" ht="11.85" customHeight="1" outlineLevel="3">
      <c r="A110" s="7"/>
      <c r="B110" s="8"/>
      <c r="C110" s="6"/>
      <c r="D110" s="6" t="s">
        <v>91</v>
      </c>
      <c r="E110" s="5">
        <v>23</v>
      </c>
      <c r="F110" s="701" t="s">
        <v>489</v>
      </c>
      <c r="G110" s="701"/>
      <c r="H110" s="6"/>
      <c r="I110" s="6"/>
      <c r="J110" s="6"/>
      <c r="K110" s="9"/>
      <c r="L110" s="9"/>
      <c r="M110" s="9"/>
    </row>
    <row r="111" spans="1:13" ht="11.85" customHeight="1" outlineLevel="3">
      <c r="A111" s="7"/>
      <c r="B111" s="8"/>
      <c r="C111" s="6"/>
      <c r="D111" s="6" t="s">
        <v>47</v>
      </c>
      <c r="E111" s="5">
        <v>52</v>
      </c>
      <c r="F111" s="701" t="s">
        <v>490</v>
      </c>
      <c r="G111" s="701"/>
      <c r="H111" s="6"/>
      <c r="I111" s="6"/>
      <c r="J111" s="6"/>
      <c r="K111" s="9"/>
      <c r="L111" s="9"/>
      <c r="M111" s="9"/>
    </row>
    <row r="112" spans="1:13" ht="11.85" customHeight="1" outlineLevel="3">
      <c r="A112" s="7"/>
      <c r="B112" s="8"/>
      <c r="C112" s="6"/>
      <c r="D112" s="6" t="s">
        <v>92</v>
      </c>
      <c r="E112" s="5">
        <v>4</v>
      </c>
      <c r="F112" s="701" t="s">
        <v>491</v>
      </c>
      <c r="G112" s="701"/>
      <c r="H112" s="6"/>
      <c r="I112" s="6"/>
      <c r="J112" s="6"/>
      <c r="K112" s="9"/>
      <c r="L112" s="9"/>
      <c r="M112" s="9"/>
    </row>
    <row r="113" spans="1:13" ht="11.85" customHeight="1" outlineLevel="3">
      <c r="A113" s="7"/>
      <c r="B113" s="8"/>
      <c r="C113" s="6"/>
      <c r="D113" s="6" t="s">
        <v>89</v>
      </c>
      <c r="E113" s="5">
        <v>99</v>
      </c>
      <c r="F113" s="701" t="s">
        <v>492</v>
      </c>
      <c r="G113" s="701"/>
      <c r="H113" s="6"/>
      <c r="I113" s="6"/>
      <c r="J113" s="6"/>
      <c r="K113" s="9"/>
      <c r="L113" s="9"/>
      <c r="M113" s="9"/>
    </row>
    <row r="114" spans="1:13" ht="11.85" customHeight="1" outlineLevel="3">
      <c r="A114" s="7"/>
      <c r="B114" s="8"/>
      <c r="C114" s="6"/>
      <c r="D114" s="6" t="s">
        <v>117</v>
      </c>
      <c r="E114" s="5">
        <v>18</v>
      </c>
      <c r="F114" s="701" t="s">
        <v>493</v>
      </c>
      <c r="G114" s="701"/>
      <c r="H114" s="6"/>
      <c r="I114" s="6"/>
      <c r="J114" s="6"/>
      <c r="K114" s="9"/>
      <c r="L114" s="9"/>
      <c r="M114" s="9"/>
    </row>
    <row r="115" spans="1:13" ht="11.85" customHeight="1" outlineLevel="3">
      <c r="A115" s="7"/>
      <c r="B115" s="8"/>
      <c r="C115" s="6"/>
      <c r="D115" s="6" t="s">
        <v>118</v>
      </c>
      <c r="E115" s="5">
        <v>18</v>
      </c>
      <c r="F115" s="701" t="s">
        <v>494</v>
      </c>
      <c r="G115" s="701"/>
      <c r="H115" s="6"/>
      <c r="I115" s="6"/>
      <c r="J115" s="6"/>
      <c r="K115" s="9"/>
      <c r="L115" s="9"/>
      <c r="M115" s="9"/>
    </row>
    <row r="116" spans="1:13" ht="11.85" customHeight="1" outlineLevel="3">
      <c r="A116" s="7"/>
      <c r="B116" s="8"/>
      <c r="C116" s="6"/>
      <c r="D116" s="6" t="s">
        <v>87</v>
      </c>
      <c r="E116" s="5">
        <v>51</v>
      </c>
      <c r="F116" s="701" t="s">
        <v>495</v>
      </c>
      <c r="G116" s="701"/>
      <c r="H116" s="6"/>
      <c r="I116" s="6"/>
      <c r="J116" s="6"/>
      <c r="K116" s="9"/>
      <c r="L116" s="9"/>
      <c r="M116" s="9"/>
    </row>
    <row r="117" spans="1:13" ht="11.85" customHeight="1" outlineLevel="3">
      <c r="A117" s="7"/>
      <c r="B117" s="8"/>
      <c r="C117" s="6"/>
      <c r="D117" s="6" t="s">
        <v>88</v>
      </c>
      <c r="E117" s="5">
        <v>118</v>
      </c>
      <c r="F117" s="701" t="s">
        <v>496</v>
      </c>
      <c r="G117" s="701"/>
      <c r="H117" s="6"/>
      <c r="I117" s="6"/>
      <c r="J117" s="6"/>
      <c r="K117" s="9"/>
      <c r="L117" s="9"/>
      <c r="M117" s="9"/>
    </row>
    <row r="118" spans="1:13" ht="11.85" customHeight="1" outlineLevel="2">
      <c r="A118" s="700" t="s">
        <v>497</v>
      </c>
      <c r="B118" s="700"/>
      <c r="C118" s="700"/>
      <c r="D118" s="700"/>
      <c r="E118" s="700"/>
      <c r="F118" s="700"/>
      <c r="G118" s="700"/>
      <c r="H118" s="700"/>
      <c r="I118" s="700"/>
      <c r="J118" s="700"/>
      <c r="K118" s="700"/>
      <c r="L118" s="700"/>
      <c r="M118" s="700"/>
    </row>
    <row r="119" spans="1:13" ht="11.85" customHeight="1" outlineLevel="3">
      <c r="A119" s="7"/>
      <c r="B119" s="8"/>
      <c r="C119" s="6"/>
      <c r="D119" s="6" t="s">
        <v>99</v>
      </c>
      <c r="E119" s="5">
        <v>1</v>
      </c>
      <c r="F119" s="701" t="s">
        <v>498</v>
      </c>
      <c r="G119" s="701"/>
      <c r="H119" s="6"/>
      <c r="I119" s="6"/>
      <c r="J119" s="6"/>
      <c r="K119" s="9"/>
      <c r="L119" s="9"/>
      <c r="M119" s="10">
        <v>69</v>
      </c>
    </row>
    <row r="120" spans="1:13" ht="11.85" customHeight="1" outlineLevel="3">
      <c r="A120" s="7"/>
      <c r="B120" s="8"/>
      <c r="C120" s="6"/>
      <c r="D120" s="6" t="s">
        <v>95</v>
      </c>
      <c r="E120" s="5">
        <v>1</v>
      </c>
      <c r="F120" s="701" t="s">
        <v>499</v>
      </c>
      <c r="G120" s="701"/>
      <c r="H120" s="6"/>
      <c r="I120" s="6"/>
      <c r="J120" s="6"/>
      <c r="K120" s="9"/>
      <c r="L120" s="9"/>
      <c r="M120" s="10">
        <v>49</v>
      </c>
    </row>
    <row r="121" spans="1:13" ht="11.85" customHeight="1" outlineLevel="3">
      <c r="A121" s="7"/>
      <c r="B121" s="8"/>
      <c r="C121" s="6"/>
      <c r="D121" s="6" t="s">
        <v>100</v>
      </c>
      <c r="E121" s="5">
        <v>35</v>
      </c>
      <c r="F121" s="701" t="s">
        <v>500</v>
      </c>
      <c r="G121" s="701"/>
      <c r="H121" s="6"/>
      <c r="I121" s="6"/>
      <c r="J121" s="6"/>
      <c r="K121" s="9"/>
      <c r="L121" s="9"/>
      <c r="M121" s="11">
        <v>1013</v>
      </c>
    </row>
    <row r="122" spans="1:13" ht="11.85" customHeight="1" outlineLevel="3">
      <c r="A122" s="7"/>
      <c r="B122" s="8"/>
      <c r="C122" s="6"/>
      <c r="D122" s="6" t="s">
        <v>93</v>
      </c>
      <c r="E122" s="5">
        <v>12</v>
      </c>
      <c r="F122" s="701" t="s">
        <v>501</v>
      </c>
      <c r="G122" s="701"/>
      <c r="H122" s="6"/>
      <c r="I122" s="6"/>
      <c r="J122" s="6"/>
      <c r="K122" s="9"/>
      <c r="L122" s="9"/>
      <c r="M122" s="10">
        <v>802</v>
      </c>
    </row>
    <row r="123" spans="1:13" ht="11.85" customHeight="1" outlineLevel="3">
      <c r="A123" s="7"/>
      <c r="B123" s="8"/>
      <c r="C123" s="6"/>
      <c r="D123" s="6" t="s">
        <v>47</v>
      </c>
      <c r="E123" s="5">
        <v>52</v>
      </c>
      <c r="F123" s="701" t="s">
        <v>502</v>
      </c>
      <c r="G123" s="701"/>
      <c r="H123" s="6"/>
      <c r="I123" s="6"/>
      <c r="J123" s="6"/>
      <c r="K123" s="9"/>
      <c r="L123" s="9"/>
      <c r="M123" s="10">
        <v>845</v>
      </c>
    </row>
    <row r="124" spans="1:13" ht="11.85" customHeight="1" outlineLevel="3">
      <c r="A124" s="7"/>
      <c r="B124" s="8"/>
      <c r="C124" s="6"/>
      <c r="D124" s="6" t="s">
        <v>107</v>
      </c>
      <c r="E124" s="5">
        <v>41</v>
      </c>
      <c r="F124" s="701" t="s">
        <v>503</v>
      </c>
      <c r="G124" s="701"/>
      <c r="H124" s="6"/>
      <c r="I124" s="6"/>
      <c r="J124" s="6"/>
      <c r="K124" s="9"/>
      <c r="L124" s="9"/>
      <c r="M124" s="10">
        <v>33</v>
      </c>
    </row>
    <row r="125" spans="1:13" ht="11.85" customHeight="1" outlineLevel="3">
      <c r="A125" s="7"/>
      <c r="B125" s="8"/>
      <c r="C125" s="6"/>
      <c r="D125" s="6" t="s">
        <v>108</v>
      </c>
      <c r="E125" s="5">
        <v>117</v>
      </c>
      <c r="F125" s="701" t="s">
        <v>504</v>
      </c>
      <c r="G125" s="701"/>
      <c r="H125" s="6"/>
      <c r="I125" s="6"/>
      <c r="J125" s="6"/>
      <c r="K125" s="9"/>
      <c r="L125" s="9"/>
      <c r="M125" s="10">
        <v>300</v>
      </c>
    </row>
    <row r="126" spans="1:13" ht="11.85" customHeight="1" outlineLevel="3">
      <c r="A126" s="7"/>
      <c r="B126" s="8"/>
      <c r="C126" s="6"/>
      <c r="D126" s="6" t="s">
        <v>106</v>
      </c>
      <c r="E126" s="5">
        <v>41</v>
      </c>
      <c r="F126" s="701" t="s">
        <v>505</v>
      </c>
      <c r="G126" s="701"/>
      <c r="H126" s="6"/>
      <c r="I126" s="6"/>
      <c r="J126" s="6"/>
      <c r="K126" s="9"/>
      <c r="L126" s="9"/>
      <c r="M126" s="10">
        <v>46</v>
      </c>
    </row>
    <row r="127" spans="1:13" ht="11.85" customHeight="1" outlineLevel="3">
      <c r="A127" s="7"/>
      <c r="B127" s="8"/>
      <c r="C127" s="6"/>
      <c r="D127" s="6" t="s">
        <v>98</v>
      </c>
      <c r="E127" s="5">
        <v>1</v>
      </c>
      <c r="F127" s="701" t="s">
        <v>506</v>
      </c>
      <c r="G127" s="701"/>
      <c r="H127" s="6"/>
      <c r="I127" s="6"/>
      <c r="J127" s="6"/>
      <c r="K127" s="9"/>
      <c r="L127" s="9"/>
      <c r="M127" s="10">
        <v>45</v>
      </c>
    </row>
    <row r="128" spans="1:13" ht="11.85" customHeight="1" outlineLevel="3">
      <c r="A128" s="7"/>
      <c r="B128" s="8"/>
      <c r="C128" s="6"/>
      <c r="D128" s="6" t="s">
        <v>96</v>
      </c>
      <c r="E128" s="5">
        <v>1</v>
      </c>
      <c r="F128" s="701" t="s">
        <v>507</v>
      </c>
      <c r="G128" s="701"/>
      <c r="H128" s="6"/>
      <c r="I128" s="6"/>
      <c r="J128" s="6"/>
      <c r="K128" s="9"/>
      <c r="L128" s="9"/>
      <c r="M128" s="10">
        <v>9</v>
      </c>
    </row>
    <row r="129" spans="1:13" ht="11.85" customHeight="1" outlineLevel="3">
      <c r="A129" s="7"/>
      <c r="B129" s="8"/>
      <c r="C129" s="6"/>
      <c r="D129" s="6" t="s">
        <v>97</v>
      </c>
      <c r="E129" s="5">
        <v>1</v>
      </c>
      <c r="F129" s="701" t="s">
        <v>508</v>
      </c>
      <c r="G129" s="701"/>
      <c r="H129" s="6"/>
      <c r="I129" s="6"/>
      <c r="J129" s="6"/>
      <c r="K129" s="9"/>
      <c r="L129" s="9"/>
      <c r="M129" s="10">
        <v>49</v>
      </c>
    </row>
    <row r="130" spans="1:13" ht="11.85" customHeight="1" outlineLevel="3">
      <c r="A130" s="7"/>
      <c r="B130" s="8"/>
      <c r="C130" s="6"/>
      <c r="D130" s="6" t="s">
        <v>121</v>
      </c>
      <c r="E130" s="5">
        <v>47</v>
      </c>
      <c r="F130" s="701" t="s">
        <v>509</v>
      </c>
      <c r="G130" s="701"/>
      <c r="H130" s="6"/>
      <c r="I130" s="6"/>
      <c r="J130" s="6"/>
      <c r="K130" s="9"/>
      <c r="L130" s="9"/>
      <c r="M130" s="9"/>
    </row>
    <row r="131" spans="1:13" ht="11.85" customHeight="1" outlineLevel="3">
      <c r="A131" s="7"/>
      <c r="B131" s="8"/>
      <c r="C131" s="6"/>
      <c r="D131" s="6" t="s">
        <v>120</v>
      </c>
      <c r="E131" s="5">
        <v>118</v>
      </c>
      <c r="F131" s="701" t="s">
        <v>510</v>
      </c>
      <c r="G131" s="701"/>
      <c r="H131" s="6"/>
      <c r="I131" s="6"/>
      <c r="J131" s="6"/>
      <c r="K131" s="9"/>
      <c r="L131" s="9"/>
      <c r="M131" s="9"/>
    </row>
    <row r="132" spans="1:13" ht="11.85" customHeight="1" outlineLevel="3">
      <c r="A132" s="7"/>
      <c r="B132" s="8"/>
      <c r="C132" s="6"/>
      <c r="D132" s="6" t="s">
        <v>130</v>
      </c>
      <c r="E132" s="5">
        <v>37</v>
      </c>
      <c r="F132" s="701" t="s">
        <v>511</v>
      </c>
      <c r="G132" s="701"/>
      <c r="H132" s="6"/>
      <c r="I132" s="6"/>
      <c r="J132" s="6"/>
      <c r="K132" s="9"/>
      <c r="L132" s="9"/>
      <c r="M132" s="10">
        <v>525</v>
      </c>
    </row>
    <row r="133" spans="1:13" ht="11.85" customHeight="1" outlineLevel="3">
      <c r="A133" s="7"/>
      <c r="B133" s="8"/>
      <c r="C133" s="6"/>
      <c r="D133" s="6" t="s">
        <v>108</v>
      </c>
      <c r="E133" s="5">
        <v>117</v>
      </c>
      <c r="F133" s="701" t="s">
        <v>512</v>
      </c>
      <c r="G133" s="701"/>
      <c r="H133" s="6"/>
      <c r="I133" s="6"/>
      <c r="J133" s="6"/>
      <c r="K133" s="9"/>
      <c r="L133" s="9"/>
      <c r="M133" s="10">
        <v>300</v>
      </c>
    </row>
    <row r="134" spans="1:13" ht="11.85" customHeight="1" outlineLevel="3">
      <c r="A134" s="7"/>
      <c r="B134" s="8"/>
      <c r="C134" s="6"/>
      <c r="D134" s="6" t="s">
        <v>131</v>
      </c>
      <c r="E134" s="5">
        <v>41</v>
      </c>
      <c r="F134" s="701" t="s">
        <v>513</v>
      </c>
      <c r="G134" s="701"/>
      <c r="H134" s="6"/>
      <c r="I134" s="6"/>
      <c r="J134" s="6"/>
      <c r="K134" s="9"/>
      <c r="L134" s="9"/>
      <c r="M134" s="10">
        <v>677</v>
      </c>
    </row>
    <row r="135" spans="1:13" ht="11.85" customHeight="1" outlineLevel="3">
      <c r="A135" s="7"/>
      <c r="B135" s="8"/>
      <c r="C135" s="6"/>
      <c r="D135" s="6" t="s">
        <v>123</v>
      </c>
      <c r="E135" s="5">
        <v>1</v>
      </c>
      <c r="F135" s="701" t="s">
        <v>514</v>
      </c>
      <c r="G135" s="701"/>
      <c r="H135" s="6"/>
      <c r="I135" s="6"/>
      <c r="J135" s="6"/>
      <c r="K135" s="9"/>
      <c r="L135" s="9"/>
      <c r="M135" s="10">
        <v>13</v>
      </c>
    </row>
    <row r="136" spans="1:13" ht="11.85" customHeight="1" outlineLevel="3">
      <c r="A136" s="7"/>
      <c r="B136" s="8"/>
      <c r="C136" s="6"/>
      <c r="D136" s="6" t="s">
        <v>124</v>
      </c>
      <c r="E136" s="5">
        <v>6</v>
      </c>
      <c r="F136" s="701" t="s">
        <v>515</v>
      </c>
      <c r="G136" s="701"/>
      <c r="H136" s="6"/>
      <c r="I136" s="6"/>
      <c r="J136" s="6"/>
      <c r="K136" s="9"/>
      <c r="L136" s="9"/>
      <c r="M136" s="10">
        <v>113</v>
      </c>
    </row>
    <row r="137" spans="1:13" ht="11.85" customHeight="1" outlineLevel="3">
      <c r="A137" s="7"/>
      <c r="B137" s="8"/>
      <c r="C137" s="6"/>
      <c r="D137" s="6" t="s">
        <v>125</v>
      </c>
      <c r="E137" s="5">
        <v>6</v>
      </c>
      <c r="F137" s="701" t="s">
        <v>516</v>
      </c>
      <c r="G137" s="701"/>
      <c r="H137" s="6"/>
      <c r="I137" s="6"/>
      <c r="J137" s="6"/>
      <c r="K137" s="9"/>
      <c r="L137" s="9"/>
      <c r="M137" s="10">
        <v>497</v>
      </c>
    </row>
    <row r="138" spans="1:13" ht="11.85" customHeight="1" outlineLevel="3">
      <c r="A138" s="7"/>
      <c r="B138" s="8"/>
      <c r="C138" s="6"/>
      <c r="D138" s="6" t="s">
        <v>126</v>
      </c>
      <c r="E138" s="5">
        <v>6</v>
      </c>
      <c r="F138" s="701" t="s">
        <v>517</v>
      </c>
      <c r="G138" s="701"/>
      <c r="H138" s="6"/>
      <c r="I138" s="6"/>
      <c r="J138" s="6"/>
      <c r="K138" s="9"/>
      <c r="L138" s="9"/>
      <c r="M138" s="10">
        <v>164</v>
      </c>
    </row>
    <row r="139" spans="1:13" ht="11.85" customHeight="1" outlineLevel="3">
      <c r="A139" s="7"/>
      <c r="B139" s="8"/>
      <c r="C139" s="6"/>
      <c r="D139" s="6" t="s">
        <v>127</v>
      </c>
      <c r="E139" s="5">
        <v>6</v>
      </c>
      <c r="F139" s="701" t="s">
        <v>518</v>
      </c>
      <c r="G139" s="701"/>
      <c r="H139" s="6"/>
      <c r="I139" s="6"/>
      <c r="J139" s="6"/>
      <c r="K139" s="9"/>
      <c r="L139" s="9"/>
      <c r="M139" s="10">
        <v>265</v>
      </c>
    </row>
    <row r="140" spans="1:13" ht="11.85" customHeight="1" outlineLevel="3">
      <c r="A140" s="7"/>
      <c r="B140" s="8"/>
      <c r="C140" s="6"/>
      <c r="D140" s="6" t="s">
        <v>128</v>
      </c>
      <c r="E140" s="5">
        <v>48</v>
      </c>
      <c r="F140" s="701" t="s">
        <v>519</v>
      </c>
      <c r="G140" s="701"/>
      <c r="H140" s="6"/>
      <c r="I140" s="6"/>
      <c r="J140" s="6"/>
      <c r="K140" s="9"/>
      <c r="L140" s="9"/>
      <c r="M140" s="10">
        <v>229</v>
      </c>
    </row>
    <row r="141" spans="1:13" ht="11.85" customHeight="1" outlineLevel="3">
      <c r="A141" s="7"/>
      <c r="B141" s="8"/>
      <c r="C141" s="6"/>
      <c r="D141" s="6" t="s">
        <v>94</v>
      </c>
      <c r="E141" s="5">
        <v>4</v>
      </c>
      <c r="F141" s="701" t="s">
        <v>520</v>
      </c>
      <c r="G141" s="701"/>
      <c r="H141" s="6"/>
      <c r="I141" s="6"/>
      <c r="J141" s="6"/>
      <c r="K141" s="9"/>
      <c r="L141" s="9"/>
      <c r="M141" s="9"/>
    </row>
    <row r="142" spans="1:13" ht="11.85" customHeight="1" outlineLevel="2">
      <c r="A142" s="700" t="s">
        <v>431</v>
      </c>
      <c r="B142" s="700"/>
      <c r="C142" s="700"/>
      <c r="D142" s="700"/>
      <c r="E142" s="700"/>
      <c r="F142" s="700"/>
      <c r="G142" s="700"/>
      <c r="H142" s="700"/>
      <c r="I142" s="700"/>
      <c r="J142" s="700"/>
      <c r="K142" s="700"/>
      <c r="L142" s="700"/>
      <c r="M142" s="700"/>
    </row>
    <row r="143" spans="1:13" ht="11.85" customHeight="1" outlineLevel="3">
      <c r="A143" s="7"/>
      <c r="B143" s="8"/>
      <c r="C143" s="6"/>
      <c r="D143" s="6" t="s">
        <v>116</v>
      </c>
      <c r="E143" s="5">
        <v>17</v>
      </c>
      <c r="F143" s="701" t="s">
        <v>521</v>
      </c>
      <c r="G143" s="701"/>
      <c r="H143" s="6"/>
      <c r="I143" s="6"/>
      <c r="J143" s="6"/>
      <c r="K143" s="9"/>
      <c r="L143" s="9"/>
      <c r="M143" s="9"/>
    </row>
    <row r="144" spans="1:13" ht="11.85" customHeight="1" outlineLevel="3">
      <c r="A144" s="7"/>
      <c r="B144" s="8"/>
      <c r="C144" s="6"/>
      <c r="D144" s="6" t="s">
        <v>30</v>
      </c>
      <c r="E144" s="5">
        <v>71</v>
      </c>
      <c r="F144" s="701" t="s">
        <v>522</v>
      </c>
      <c r="G144" s="701"/>
      <c r="H144" s="6"/>
      <c r="I144" s="6"/>
      <c r="J144" s="6"/>
      <c r="K144" s="9"/>
      <c r="L144" s="9"/>
      <c r="M144" s="9"/>
    </row>
    <row r="145" spans="1:13" ht="11.85" customHeight="1" outlineLevel="3">
      <c r="A145" s="7"/>
      <c r="B145" s="8"/>
      <c r="C145" s="6"/>
      <c r="D145" s="6" t="s">
        <v>122</v>
      </c>
      <c r="E145" s="5">
        <v>25</v>
      </c>
      <c r="F145" s="701" t="s">
        <v>523</v>
      </c>
      <c r="G145" s="701"/>
      <c r="H145" s="6"/>
      <c r="I145" s="6"/>
      <c r="J145" s="6"/>
      <c r="K145" s="9"/>
      <c r="L145" s="9"/>
      <c r="M145" s="9"/>
    </row>
    <row r="146" spans="1:13" ht="11.85" customHeight="1" outlineLevel="1">
      <c r="A146" s="699" t="s">
        <v>132</v>
      </c>
      <c r="B146" s="699"/>
      <c r="C146" s="699"/>
      <c r="D146" s="699"/>
      <c r="E146" s="699"/>
      <c r="F146" s="699"/>
      <c r="G146" s="699"/>
      <c r="H146" s="699"/>
      <c r="I146" s="699"/>
      <c r="J146" s="699"/>
      <c r="K146" s="699"/>
      <c r="L146" s="699"/>
      <c r="M146" s="699"/>
    </row>
    <row r="147" spans="1:13" ht="11.85" customHeight="1" outlineLevel="2">
      <c r="A147" s="700" t="s">
        <v>471</v>
      </c>
      <c r="B147" s="700"/>
      <c r="C147" s="700"/>
      <c r="D147" s="700"/>
      <c r="E147" s="700"/>
      <c r="F147" s="700"/>
      <c r="G147" s="700"/>
      <c r="H147" s="700"/>
      <c r="I147" s="700"/>
      <c r="J147" s="700"/>
      <c r="K147" s="700"/>
      <c r="L147" s="700"/>
      <c r="M147" s="700"/>
    </row>
    <row r="148" spans="1:13" ht="11.85" customHeight="1" outlineLevel="3">
      <c r="A148" s="7"/>
      <c r="B148" s="8"/>
      <c r="C148" s="6"/>
      <c r="D148" s="6" t="s">
        <v>152</v>
      </c>
      <c r="E148" s="5">
        <v>50</v>
      </c>
      <c r="F148" s="701" t="s">
        <v>524</v>
      </c>
      <c r="G148" s="701"/>
      <c r="H148" s="6"/>
      <c r="I148" s="6"/>
      <c r="J148" s="6"/>
      <c r="K148" s="9"/>
      <c r="L148" s="9"/>
      <c r="M148" s="9"/>
    </row>
    <row r="149" spans="1:13" ht="11.85" customHeight="1" outlineLevel="3">
      <c r="A149" s="7"/>
      <c r="B149" s="8"/>
      <c r="C149" s="6"/>
      <c r="D149" s="6" t="s">
        <v>174</v>
      </c>
      <c r="E149" s="5">
        <v>12</v>
      </c>
      <c r="F149" s="701" t="s">
        <v>525</v>
      </c>
      <c r="G149" s="701"/>
      <c r="H149" s="6"/>
      <c r="I149" s="6"/>
      <c r="J149" s="6"/>
      <c r="K149" s="9"/>
      <c r="L149" s="9"/>
      <c r="M149" s="9"/>
    </row>
    <row r="150" spans="1:13" ht="11.85" customHeight="1" outlineLevel="3">
      <c r="A150" s="7"/>
      <c r="B150" s="8"/>
      <c r="C150" s="6"/>
      <c r="D150" s="6" t="s">
        <v>151</v>
      </c>
      <c r="E150" s="5">
        <v>49</v>
      </c>
      <c r="F150" s="701" t="s">
        <v>526</v>
      </c>
      <c r="G150" s="701"/>
      <c r="H150" s="6"/>
      <c r="I150" s="6"/>
      <c r="J150" s="6"/>
      <c r="K150" s="9"/>
      <c r="L150" s="9"/>
      <c r="M150" s="9"/>
    </row>
    <row r="151" spans="1:13" ht="11.85" customHeight="1" outlineLevel="3">
      <c r="A151" s="7"/>
      <c r="B151" s="8"/>
      <c r="C151" s="6"/>
      <c r="D151" s="6" t="s">
        <v>126</v>
      </c>
      <c r="E151" s="5">
        <v>6</v>
      </c>
      <c r="F151" s="701" t="s">
        <v>527</v>
      </c>
      <c r="G151" s="701"/>
      <c r="H151" s="6"/>
      <c r="I151" s="6"/>
      <c r="J151" s="6"/>
      <c r="K151" s="9"/>
      <c r="L151" s="9"/>
      <c r="M151" s="9"/>
    </row>
    <row r="152" spans="1:13" ht="11.85" customHeight="1" outlineLevel="3">
      <c r="A152" s="7"/>
      <c r="B152" s="8"/>
      <c r="C152" s="6"/>
      <c r="D152" s="6" t="s">
        <v>175</v>
      </c>
      <c r="E152" s="5">
        <v>12</v>
      </c>
      <c r="F152" s="701" t="s">
        <v>528</v>
      </c>
      <c r="G152" s="701"/>
      <c r="H152" s="6"/>
      <c r="I152" s="6"/>
      <c r="J152" s="6"/>
      <c r="K152" s="9"/>
      <c r="L152" s="9"/>
      <c r="M152" s="9"/>
    </row>
    <row r="153" spans="1:13" ht="11.85" customHeight="1" outlineLevel="3">
      <c r="A153" s="7"/>
      <c r="B153" s="8"/>
      <c r="C153" s="6"/>
      <c r="D153" s="6" t="s">
        <v>156</v>
      </c>
      <c r="E153" s="5">
        <v>50</v>
      </c>
      <c r="F153" s="701" t="s">
        <v>529</v>
      </c>
      <c r="G153" s="701"/>
      <c r="H153" s="6"/>
      <c r="I153" s="6"/>
      <c r="J153" s="6"/>
      <c r="K153" s="9"/>
      <c r="L153" s="9"/>
      <c r="M153" s="10">
        <v>158</v>
      </c>
    </row>
    <row r="154" spans="1:13" ht="11.85" customHeight="1" outlineLevel="3">
      <c r="A154" s="7"/>
      <c r="B154" s="8"/>
      <c r="C154" s="6"/>
      <c r="D154" s="6" t="s">
        <v>158</v>
      </c>
      <c r="E154" s="5">
        <v>25</v>
      </c>
      <c r="F154" s="701" t="s">
        <v>530</v>
      </c>
      <c r="G154" s="701"/>
      <c r="H154" s="6"/>
      <c r="I154" s="6"/>
      <c r="J154" s="6"/>
      <c r="K154" s="9"/>
      <c r="L154" s="9"/>
      <c r="M154" s="10">
        <v>80</v>
      </c>
    </row>
    <row r="155" spans="1:13" ht="11.85" customHeight="1" outlineLevel="3">
      <c r="A155" s="7"/>
      <c r="B155" s="8"/>
      <c r="C155" s="6"/>
      <c r="D155" s="6" t="s">
        <v>157</v>
      </c>
      <c r="E155" s="5">
        <v>49</v>
      </c>
      <c r="F155" s="701" t="s">
        <v>531</v>
      </c>
      <c r="G155" s="701"/>
      <c r="H155" s="6"/>
      <c r="I155" s="6"/>
      <c r="J155" s="6"/>
      <c r="K155" s="9"/>
      <c r="L155" s="9"/>
      <c r="M155" s="10">
        <v>187</v>
      </c>
    </row>
    <row r="156" spans="1:13" ht="11.85" customHeight="1" outlineLevel="3">
      <c r="A156" s="7"/>
      <c r="B156" s="8"/>
      <c r="C156" s="6"/>
      <c r="D156" s="6" t="s">
        <v>171</v>
      </c>
      <c r="E156" s="5">
        <v>8</v>
      </c>
      <c r="F156" s="701" t="s">
        <v>532</v>
      </c>
      <c r="G156" s="701"/>
      <c r="H156" s="6"/>
      <c r="I156" s="6"/>
      <c r="J156" s="6"/>
      <c r="K156" s="9"/>
      <c r="L156" s="9"/>
      <c r="M156" s="9"/>
    </row>
    <row r="157" spans="1:13" ht="11.85" customHeight="1" outlineLevel="3">
      <c r="A157" s="7"/>
      <c r="B157" s="8"/>
      <c r="C157" s="6"/>
      <c r="D157" s="6" t="s">
        <v>172</v>
      </c>
      <c r="E157" s="5">
        <v>12</v>
      </c>
      <c r="F157" s="701" t="s">
        <v>533</v>
      </c>
      <c r="G157" s="701"/>
      <c r="H157" s="6"/>
      <c r="I157" s="6"/>
      <c r="J157" s="6"/>
      <c r="K157" s="9"/>
      <c r="L157" s="9"/>
      <c r="M157" s="9"/>
    </row>
    <row r="158" spans="1:13" ht="11.85" customHeight="1" outlineLevel="3">
      <c r="A158" s="7"/>
      <c r="B158" s="8"/>
      <c r="C158" s="6"/>
      <c r="D158" s="6" t="s">
        <v>135</v>
      </c>
      <c r="E158" s="5">
        <v>87</v>
      </c>
      <c r="F158" s="701" t="s">
        <v>534</v>
      </c>
      <c r="G158" s="701"/>
      <c r="H158" s="6"/>
      <c r="I158" s="6"/>
      <c r="J158" s="6"/>
      <c r="K158" s="9"/>
      <c r="L158" s="9"/>
      <c r="M158" s="10">
        <v>3</v>
      </c>
    </row>
    <row r="159" spans="1:13" ht="11.85" customHeight="1" outlineLevel="3">
      <c r="A159" s="7"/>
      <c r="B159" s="8"/>
      <c r="C159" s="6"/>
      <c r="D159" s="6" t="s">
        <v>136</v>
      </c>
      <c r="E159" s="5">
        <v>83</v>
      </c>
      <c r="F159" s="701" t="s">
        <v>535</v>
      </c>
      <c r="G159" s="701"/>
      <c r="H159" s="6"/>
      <c r="I159" s="6"/>
      <c r="J159" s="6"/>
      <c r="K159" s="9"/>
      <c r="L159" s="9"/>
      <c r="M159" s="10">
        <v>14</v>
      </c>
    </row>
    <row r="160" spans="1:13" ht="11.85" customHeight="1" outlineLevel="3">
      <c r="A160" s="7"/>
      <c r="B160" s="8"/>
      <c r="C160" s="6"/>
      <c r="D160" s="6" t="s">
        <v>148</v>
      </c>
      <c r="E160" s="5">
        <v>92</v>
      </c>
      <c r="F160" s="701" t="s">
        <v>536</v>
      </c>
      <c r="G160" s="701"/>
      <c r="H160" s="6"/>
      <c r="I160" s="6"/>
      <c r="J160" s="6"/>
      <c r="K160" s="9"/>
      <c r="L160" s="9"/>
      <c r="M160" s="9"/>
    </row>
    <row r="161" spans="1:13" ht="11.85" customHeight="1" outlineLevel="2">
      <c r="A161" s="700" t="s">
        <v>404</v>
      </c>
      <c r="B161" s="700"/>
      <c r="C161" s="700"/>
      <c r="D161" s="700"/>
      <c r="E161" s="700"/>
      <c r="F161" s="700"/>
      <c r="G161" s="700"/>
      <c r="H161" s="700"/>
      <c r="I161" s="700"/>
      <c r="J161" s="700"/>
      <c r="K161" s="700"/>
      <c r="L161" s="700"/>
      <c r="M161" s="700"/>
    </row>
    <row r="162" spans="1:13" ht="11.85" customHeight="1" outlineLevel="3">
      <c r="A162" s="7"/>
      <c r="B162" s="8"/>
      <c r="C162" s="6"/>
      <c r="D162" s="6" t="s">
        <v>139</v>
      </c>
      <c r="E162" s="5">
        <v>6</v>
      </c>
      <c r="F162" s="701" t="s">
        <v>537</v>
      </c>
      <c r="G162" s="701"/>
      <c r="H162" s="6"/>
      <c r="I162" s="6"/>
      <c r="J162" s="6"/>
      <c r="K162" s="9"/>
      <c r="L162" s="9"/>
      <c r="M162" s="9"/>
    </row>
    <row r="163" spans="1:13" ht="11.85" customHeight="1" outlineLevel="3">
      <c r="A163" s="7"/>
      <c r="B163" s="8"/>
      <c r="C163" s="6"/>
      <c r="D163" s="6" t="s">
        <v>140</v>
      </c>
      <c r="E163" s="5">
        <v>30</v>
      </c>
      <c r="F163" s="701" t="s">
        <v>538</v>
      </c>
      <c r="G163" s="701"/>
      <c r="H163" s="6"/>
      <c r="I163" s="6"/>
      <c r="J163" s="6"/>
      <c r="K163" s="9"/>
      <c r="L163" s="9"/>
      <c r="M163" s="9"/>
    </row>
    <row r="164" spans="1:13" ht="11.85" customHeight="1" outlineLevel="3">
      <c r="A164" s="7"/>
      <c r="B164" s="8"/>
      <c r="C164" s="6"/>
      <c r="D164" s="6" t="s">
        <v>141</v>
      </c>
      <c r="E164" s="5">
        <v>47</v>
      </c>
      <c r="F164" s="701" t="s">
        <v>539</v>
      </c>
      <c r="G164" s="701"/>
      <c r="H164" s="6"/>
      <c r="I164" s="6"/>
      <c r="J164" s="6"/>
      <c r="K164" s="9"/>
      <c r="L164" s="9"/>
      <c r="M164" s="9"/>
    </row>
    <row r="165" spans="1:13" ht="11.85" customHeight="1" outlineLevel="3">
      <c r="A165" s="7"/>
      <c r="B165" s="8"/>
      <c r="C165" s="6"/>
      <c r="D165" s="6" t="s">
        <v>137</v>
      </c>
      <c r="E165" s="5">
        <v>2</v>
      </c>
      <c r="F165" s="701" t="s">
        <v>540</v>
      </c>
      <c r="G165" s="701"/>
      <c r="H165" s="6"/>
      <c r="I165" s="6"/>
      <c r="J165" s="6"/>
      <c r="K165" s="9"/>
      <c r="L165" s="9"/>
      <c r="M165" s="9"/>
    </row>
    <row r="166" spans="1:13" ht="11.85" customHeight="1" outlineLevel="3">
      <c r="A166" s="7"/>
      <c r="B166" s="8"/>
      <c r="C166" s="6"/>
      <c r="D166" s="6" t="s">
        <v>138</v>
      </c>
      <c r="E166" s="5">
        <v>27</v>
      </c>
      <c r="F166" s="701" t="s">
        <v>541</v>
      </c>
      <c r="G166" s="701"/>
      <c r="H166" s="6"/>
      <c r="I166" s="6"/>
      <c r="J166" s="6"/>
      <c r="K166" s="9"/>
      <c r="L166" s="9"/>
      <c r="M166" s="9"/>
    </row>
    <row r="167" spans="1:13" ht="11.85" customHeight="1" outlineLevel="2">
      <c r="A167" s="700" t="s">
        <v>431</v>
      </c>
      <c r="B167" s="700"/>
      <c r="C167" s="700"/>
      <c r="D167" s="700"/>
      <c r="E167" s="700"/>
      <c r="F167" s="700"/>
      <c r="G167" s="700"/>
      <c r="H167" s="700"/>
      <c r="I167" s="700"/>
      <c r="J167" s="700"/>
      <c r="K167" s="700"/>
      <c r="L167" s="700"/>
      <c r="M167" s="700"/>
    </row>
    <row r="168" spans="1:13" ht="11.85" customHeight="1" outlineLevel="3">
      <c r="A168" s="7"/>
      <c r="B168" s="8"/>
      <c r="C168" s="6"/>
      <c r="D168" s="6" t="s">
        <v>142</v>
      </c>
      <c r="E168" s="5">
        <v>54</v>
      </c>
      <c r="F168" s="701" t="s">
        <v>542</v>
      </c>
      <c r="G168" s="701"/>
      <c r="H168" s="6"/>
      <c r="I168" s="6"/>
      <c r="J168" s="6"/>
      <c r="K168" s="9"/>
      <c r="L168" s="9"/>
      <c r="M168" s="10">
        <v>595</v>
      </c>
    </row>
    <row r="169" spans="1:13" ht="11.85" customHeight="1" outlineLevel="3">
      <c r="A169" s="7"/>
      <c r="B169" s="8"/>
      <c r="C169" s="6"/>
      <c r="D169" s="6" t="s">
        <v>149</v>
      </c>
      <c r="E169" s="5">
        <v>50</v>
      </c>
      <c r="F169" s="701" t="s">
        <v>543</v>
      </c>
      <c r="G169" s="701"/>
      <c r="H169" s="6"/>
      <c r="I169" s="6"/>
      <c r="J169" s="6"/>
      <c r="K169" s="9"/>
      <c r="L169" s="9"/>
      <c r="M169" s="10">
        <v>166</v>
      </c>
    </row>
    <row r="170" spans="1:13" ht="11.85" customHeight="1" outlineLevel="3">
      <c r="A170" s="7"/>
      <c r="B170" s="8"/>
      <c r="C170" s="6"/>
      <c r="D170" s="6" t="s">
        <v>150</v>
      </c>
      <c r="E170" s="5">
        <v>50</v>
      </c>
      <c r="F170" s="701" t="s">
        <v>544</v>
      </c>
      <c r="G170" s="701"/>
      <c r="H170" s="6"/>
      <c r="I170" s="6"/>
      <c r="J170" s="6"/>
      <c r="K170" s="9"/>
      <c r="L170" s="9"/>
      <c r="M170" s="10">
        <v>4</v>
      </c>
    </row>
    <row r="171" spans="1:13" ht="11.85" customHeight="1" outlineLevel="3">
      <c r="A171" s="7"/>
      <c r="B171" s="8"/>
      <c r="C171" s="6"/>
      <c r="D171" s="6" t="s">
        <v>70</v>
      </c>
      <c r="E171" s="5">
        <v>77</v>
      </c>
      <c r="F171" s="701" t="s">
        <v>545</v>
      </c>
      <c r="G171" s="701"/>
      <c r="H171" s="6"/>
      <c r="I171" s="6"/>
      <c r="J171" s="6"/>
      <c r="K171" s="9"/>
      <c r="L171" s="9"/>
      <c r="M171" s="10">
        <v>6</v>
      </c>
    </row>
    <row r="172" spans="1:13" ht="11.85" customHeight="1" outlineLevel="3">
      <c r="A172" s="7"/>
      <c r="B172" s="8"/>
      <c r="C172" s="6"/>
      <c r="D172" s="6" t="s">
        <v>70</v>
      </c>
      <c r="E172" s="5">
        <v>77</v>
      </c>
      <c r="F172" s="701" t="s">
        <v>546</v>
      </c>
      <c r="G172" s="701"/>
      <c r="H172" s="6"/>
      <c r="I172" s="6"/>
      <c r="J172" s="6"/>
      <c r="K172" s="9"/>
      <c r="L172" s="9"/>
      <c r="M172" s="10">
        <v>810</v>
      </c>
    </row>
    <row r="173" spans="1:13" ht="11.85" customHeight="1" outlineLevel="3">
      <c r="A173" s="7"/>
      <c r="B173" s="8"/>
      <c r="C173" s="6"/>
      <c r="D173" s="6" t="s">
        <v>140</v>
      </c>
      <c r="E173" s="5">
        <v>30</v>
      </c>
      <c r="F173" s="701" t="s">
        <v>547</v>
      </c>
      <c r="G173" s="701"/>
      <c r="H173" s="6"/>
      <c r="I173" s="6"/>
      <c r="J173" s="6"/>
      <c r="K173" s="9"/>
      <c r="L173" s="9"/>
      <c r="M173" s="10">
        <v>313</v>
      </c>
    </row>
    <row r="174" spans="1:13" ht="11.85" customHeight="1" outlineLevel="3">
      <c r="A174" s="7"/>
      <c r="B174" s="8"/>
      <c r="C174" s="6"/>
      <c r="D174" s="6" t="s">
        <v>159</v>
      </c>
      <c r="E174" s="5">
        <v>51</v>
      </c>
      <c r="F174" s="701" t="s">
        <v>548</v>
      </c>
      <c r="G174" s="701"/>
      <c r="H174" s="6"/>
      <c r="I174" s="6"/>
      <c r="J174" s="6"/>
      <c r="K174" s="9"/>
      <c r="L174" s="9"/>
      <c r="M174" s="9"/>
    </row>
    <row r="175" spans="1:13" ht="11.85" customHeight="1" outlineLevel="3">
      <c r="A175" s="7"/>
      <c r="B175" s="8"/>
      <c r="C175" s="6"/>
      <c r="D175" s="6" t="s">
        <v>147</v>
      </c>
      <c r="E175" s="5">
        <v>23</v>
      </c>
      <c r="F175" s="701" t="s">
        <v>549</v>
      </c>
      <c r="G175" s="701"/>
      <c r="H175" s="6"/>
      <c r="I175" s="6"/>
      <c r="J175" s="6"/>
      <c r="K175" s="9"/>
      <c r="L175" s="9"/>
      <c r="M175" s="9"/>
    </row>
    <row r="176" spans="1:13" ht="11.85" customHeight="1" outlineLevel="3">
      <c r="A176" s="7"/>
      <c r="B176" s="8"/>
      <c r="C176" s="6"/>
      <c r="D176" s="6" t="s">
        <v>162</v>
      </c>
      <c r="E176" s="5">
        <v>49</v>
      </c>
      <c r="F176" s="701" t="s">
        <v>550</v>
      </c>
      <c r="G176" s="701"/>
      <c r="H176" s="6"/>
      <c r="I176" s="6"/>
      <c r="J176" s="6"/>
      <c r="K176" s="9"/>
      <c r="L176" s="9"/>
      <c r="M176" s="10">
        <v>8</v>
      </c>
    </row>
    <row r="177" spans="1:13" ht="11.85" customHeight="1" outlineLevel="3">
      <c r="A177" s="7"/>
      <c r="B177" s="8"/>
      <c r="C177" s="6"/>
      <c r="D177" s="6" t="s">
        <v>163</v>
      </c>
      <c r="E177" s="5">
        <v>86</v>
      </c>
      <c r="F177" s="701" t="s">
        <v>551</v>
      </c>
      <c r="G177" s="701"/>
      <c r="H177" s="6"/>
      <c r="I177" s="6"/>
      <c r="J177" s="6"/>
      <c r="K177" s="9"/>
      <c r="L177" s="9"/>
      <c r="M177" s="10">
        <v>69</v>
      </c>
    </row>
    <row r="178" spans="1:13" ht="11.85" customHeight="1" outlineLevel="3">
      <c r="A178" s="7"/>
      <c r="B178" s="8"/>
      <c r="C178" s="6"/>
      <c r="D178" s="6" t="s">
        <v>144</v>
      </c>
      <c r="E178" s="5">
        <v>93</v>
      </c>
      <c r="F178" s="701" t="s">
        <v>552</v>
      </c>
      <c r="G178" s="701"/>
      <c r="H178" s="6"/>
      <c r="I178" s="6"/>
      <c r="J178" s="6"/>
      <c r="K178" s="9"/>
      <c r="L178" s="9"/>
      <c r="M178" s="10">
        <v>37</v>
      </c>
    </row>
    <row r="179" spans="1:13" ht="11.85" customHeight="1" outlineLevel="3">
      <c r="A179" s="7"/>
      <c r="B179" s="8"/>
      <c r="C179" s="6"/>
      <c r="D179" s="6" t="s">
        <v>145</v>
      </c>
      <c r="E179" s="5">
        <v>97</v>
      </c>
      <c r="F179" s="701" t="s">
        <v>553</v>
      </c>
      <c r="G179" s="701"/>
      <c r="H179" s="6"/>
      <c r="I179" s="6"/>
      <c r="J179" s="6"/>
      <c r="K179" s="9"/>
      <c r="L179" s="9"/>
      <c r="M179" s="10">
        <v>14</v>
      </c>
    </row>
    <row r="180" spans="1:13" ht="11.85" customHeight="1" outlineLevel="3">
      <c r="A180" s="7"/>
      <c r="B180" s="8"/>
      <c r="C180" s="6"/>
      <c r="D180" s="6" t="s">
        <v>146</v>
      </c>
      <c r="E180" s="5">
        <v>32</v>
      </c>
      <c r="F180" s="701" t="s">
        <v>554</v>
      </c>
      <c r="G180" s="701"/>
      <c r="H180" s="6"/>
      <c r="I180" s="6"/>
      <c r="J180" s="6"/>
      <c r="K180" s="9"/>
      <c r="L180" s="9"/>
      <c r="M180" s="10">
        <v>44</v>
      </c>
    </row>
    <row r="181" spans="1:13" ht="11.85" customHeight="1" outlineLevel="3">
      <c r="A181" s="7"/>
      <c r="B181" s="8"/>
      <c r="C181" s="6"/>
      <c r="D181" s="6" t="s">
        <v>164</v>
      </c>
      <c r="E181" s="5">
        <v>74</v>
      </c>
      <c r="F181" s="701" t="s">
        <v>555</v>
      </c>
      <c r="G181" s="701"/>
      <c r="H181" s="6"/>
      <c r="I181" s="6"/>
      <c r="J181" s="6"/>
      <c r="K181" s="9"/>
      <c r="L181" s="9"/>
      <c r="M181" s="10">
        <v>134</v>
      </c>
    </row>
    <row r="182" spans="1:13" ht="11.85" customHeight="1" outlineLevel="3">
      <c r="A182" s="7"/>
      <c r="B182" s="8"/>
      <c r="C182" s="6"/>
      <c r="D182" s="6" t="s">
        <v>165</v>
      </c>
      <c r="E182" s="5">
        <v>55</v>
      </c>
      <c r="F182" s="701" t="s">
        <v>556</v>
      </c>
      <c r="G182" s="701"/>
      <c r="H182" s="6"/>
      <c r="I182" s="6"/>
      <c r="J182" s="6"/>
      <c r="K182" s="9"/>
      <c r="L182" s="9"/>
      <c r="M182" s="10">
        <v>102</v>
      </c>
    </row>
    <row r="183" spans="1:13" ht="11.85" customHeight="1" outlineLevel="3">
      <c r="A183" s="7"/>
      <c r="B183" s="8"/>
      <c r="C183" s="6"/>
      <c r="D183" s="6" t="s">
        <v>166</v>
      </c>
      <c r="E183" s="5">
        <v>31</v>
      </c>
      <c r="F183" s="701" t="s">
        <v>557</v>
      </c>
      <c r="G183" s="701"/>
      <c r="H183" s="6"/>
      <c r="I183" s="6"/>
      <c r="J183" s="6"/>
      <c r="K183" s="9"/>
      <c r="L183" s="9"/>
      <c r="M183" s="10">
        <v>119</v>
      </c>
    </row>
    <row r="184" spans="1:13" ht="11.85" customHeight="1" outlineLevel="3">
      <c r="A184" s="7"/>
      <c r="B184" s="8"/>
      <c r="C184" s="6"/>
      <c r="D184" s="6" t="s">
        <v>167</v>
      </c>
      <c r="E184" s="5">
        <v>24</v>
      </c>
      <c r="F184" s="701" t="s">
        <v>558</v>
      </c>
      <c r="G184" s="701"/>
      <c r="H184" s="6"/>
      <c r="I184" s="6"/>
      <c r="J184" s="6"/>
      <c r="K184" s="9"/>
      <c r="L184" s="9"/>
      <c r="M184" s="10">
        <v>129</v>
      </c>
    </row>
    <row r="185" spans="1:13" ht="11.85" customHeight="1" outlineLevel="3">
      <c r="A185" s="7"/>
      <c r="B185" s="8"/>
      <c r="C185" s="6"/>
      <c r="D185" s="6" t="s">
        <v>133</v>
      </c>
      <c r="E185" s="5">
        <v>6</v>
      </c>
      <c r="F185" s="701" t="s">
        <v>559</v>
      </c>
      <c r="G185" s="701"/>
      <c r="H185" s="6"/>
      <c r="I185" s="6"/>
      <c r="J185" s="6"/>
      <c r="K185" s="9"/>
      <c r="L185" s="9"/>
      <c r="M185" s="9"/>
    </row>
    <row r="186" spans="1:13" ht="11.85" customHeight="1" outlineLevel="3">
      <c r="A186" s="7"/>
      <c r="B186" s="8"/>
      <c r="C186" s="6"/>
      <c r="D186" s="6" t="s">
        <v>168</v>
      </c>
      <c r="E186" s="5">
        <v>62</v>
      </c>
      <c r="F186" s="701" t="s">
        <v>560</v>
      </c>
      <c r="G186" s="701"/>
      <c r="H186" s="6"/>
      <c r="I186" s="6"/>
      <c r="J186" s="6"/>
      <c r="K186" s="9"/>
      <c r="L186" s="9"/>
      <c r="M186" s="9"/>
    </row>
    <row r="187" spans="1:13" ht="11.85" customHeight="1" outlineLevel="3">
      <c r="A187" s="7"/>
      <c r="B187" s="8"/>
      <c r="C187" s="6"/>
      <c r="D187" s="6" t="s">
        <v>169</v>
      </c>
      <c r="E187" s="5">
        <v>3</v>
      </c>
      <c r="F187" s="701" t="s">
        <v>561</v>
      </c>
      <c r="G187" s="701"/>
      <c r="H187" s="6"/>
      <c r="I187" s="6"/>
      <c r="J187" s="6"/>
      <c r="K187" s="9"/>
      <c r="L187" s="9"/>
      <c r="M187" s="9"/>
    </row>
    <row r="188" spans="1:13" ht="11.85" customHeight="1" outlineLevel="3">
      <c r="A188" s="7"/>
      <c r="B188" s="8"/>
      <c r="C188" s="6"/>
      <c r="D188" s="6" t="s">
        <v>170</v>
      </c>
      <c r="E188" s="5">
        <v>74</v>
      </c>
      <c r="F188" s="701" t="s">
        <v>562</v>
      </c>
      <c r="G188" s="701"/>
      <c r="H188" s="6"/>
      <c r="I188" s="6"/>
      <c r="J188" s="6"/>
      <c r="K188" s="9"/>
      <c r="L188" s="9"/>
      <c r="M188" s="9"/>
    </row>
    <row r="189" spans="1:13" ht="11.85" customHeight="1" outlineLevel="3">
      <c r="A189" s="7"/>
      <c r="B189" s="8"/>
      <c r="C189" s="6"/>
      <c r="D189" s="6" t="s">
        <v>176</v>
      </c>
      <c r="E189" s="5">
        <v>3</v>
      </c>
      <c r="F189" s="701" t="s">
        <v>563</v>
      </c>
      <c r="G189" s="701"/>
      <c r="H189" s="6"/>
      <c r="I189" s="6"/>
      <c r="J189" s="6"/>
      <c r="K189" s="9"/>
      <c r="L189" s="9"/>
      <c r="M189" s="9"/>
    </row>
    <row r="190" spans="1:13" ht="11.85" customHeight="1" outlineLevel="3">
      <c r="A190" s="7"/>
      <c r="B190" s="8"/>
      <c r="C190" s="6"/>
      <c r="D190" s="6"/>
      <c r="E190" s="6"/>
      <c r="F190" s="701" t="s">
        <v>564</v>
      </c>
      <c r="G190" s="701"/>
      <c r="H190" s="6"/>
      <c r="I190" s="6"/>
      <c r="J190" s="6"/>
      <c r="K190" s="9"/>
      <c r="L190" s="9"/>
      <c r="M190" s="9"/>
    </row>
    <row r="191" spans="1:13" ht="11.85" customHeight="1" outlineLevel="3">
      <c r="A191" s="7"/>
      <c r="B191" s="8"/>
      <c r="C191" s="6"/>
      <c r="D191" s="6" t="s">
        <v>160</v>
      </c>
      <c r="E191" s="5">
        <v>13</v>
      </c>
      <c r="F191" s="701" t="s">
        <v>565</v>
      </c>
      <c r="G191" s="701"/>
      <c r="H191" s="6"/>
      <c r="I191" s="6"/>
      <c r="J191" s="6"/>
      <c r="K191" s="9"/>
      <c r="L191" s="9"/>
      <c r="M191" s="9"/>
    </row>
    <row r="192" spans="1:13" ht="11.85" customHeight="1" outlineLevel="3">
      <c r="A192" s="7"/>
      <c r="B192" s="8"/>
      <c r="C192" s="6"/>
      <c r="D192" s="6" t="s">
        <v>173</v>
      </c>
      <c r="E192" s="5">
        <v>19</v>
      </c>
      <c r="F192" s="701" t="s">
        <v>566</v>
      </c>
      <c r="G192" s="701"/>
      <c r="H192" s="6"/>
      <c r="I192" s="6"/>
      <c r="J192" s="6"/>
      <c r="K192" s="9"/>
      <c r="L192" s="9"/>
      <c r="M192" s="9"/>
    </row>
    <row r="193" spans="1:13" ht="11.85" customHeight="1" outlineLevel="3">
      <c r="A193" s="7"/>
      <c r="B193" s="8"/>
      <c r="C193" s="6"/>
      <c r="D193" s="6" t="s">
        <v>153</v>
      </c>
      <c r="E193" s="5">
        <v>93</v>
      </c>
      <c r="F193" s="701" t="s">
        <v>567</v>
      </c>
      <c r="G193" s="701"/>
      <c r="H193" s="6"/>
      <c r="I193" s="6"/>
      <c r="J193" s="6"/>
      <c r="K193" s="9"/>
      <c r="L193" s="9"/>
      <c r="M193" s="9"/>
    </row>
    <row r="194" spans="1:13" ht="11.85" customHeight="1" outlineLevel="3">
      <c r="A194" s="7"/>
      <c r="B194" s="8"/>
      <c r="C194" s="6"/>
      <c r="D194" s="6" t="s">
        <v>154</v>
      </c>
      <c r="E194" s="5">
        <v>168</v>
      </c>
      <c r="F194" s="701" t="s">
        <v>568</v>
      </c>
      <c r="G194" s="701"/>
      <c r="H194" s="6"/>
      <c r="I194" s="6"/>
      <c r="J194" s="6"/>
      <c r="K194" s="9"/>
      <c r="L194" s="9"/>
      <c r="M194" s="9"/>
    </row>
    <row r="195" spans="1:13" ht="11.85" customHeight="1" outlineLevel="3">
      <c r="A195" s="7"/>
      <c r="B195" s="8"/>
      <c r="C195" s="6"/>
      <c r="D195" s="6" t="s">
        <v>155</v>
      </c>
      <c r="E195" s="5">
        <v>55</v>
      </c>
      <c r="F195" s="701" t="s">
        <v>569</v>
      </c>
      <c r="G195" s="701"/>
      <c r="H195" s="6"/>
      <c r="I195" s="6"/>
      <c r="J195" s="6"/>
      <c r="K195" s="9"/>
      <c r="L195" s="9"/>
      <c r="M195" s="9"/>
    </row>
    <row r="196" spans="1:13" ht="11.85" customHeight="1" outlineLevel="1">
      <c r="A196" s="699" t="s">
        <v>177</v>
      </c>
      <c r="B196" s="699"/>
      <c r="C196" s="699"/>
      <c r="D196" s="699"/>
      <c r="E196" s="699"/>
      <c r="F196" s="699"/>
      <c r="G196" s="699"/>
      <c r="H196" s="699"/>
      <c r="I196" s="699"/>
      <c r="J196" s="699"/>
      <c r="K196" s="699"/>
      <c r="L196" s="699"/>
      <c r="M196" s="699"/>
    </row>
    <row r="197" spans="1:13" ht="11.85" customHeight="1" outlineLevel="2">
      <c r="A197" s="700" t="s">
        <v>471</v>
      </c>
      <c r="B197" s="700"/>
      <c r="C197" s="700"/>
      <c r="D197" s="700"/>
      <c r="E197" s="700"/>
      <c r="F197" s="700"/>
      <c r="G197" s="700"/>
      <c r="H197" s="700"/>
      <c r="I197" s="700"/>
      <c r="J197" s="700"/>
      <c r="K197" s="700"/>
      <c r="L197" s="700"/>
      <c r="M197" s="700"/>
    </row>
    <row r="198" spans="1:13" ht="11.85" customHeight="1" outlineLevel="3">
      <c r="A198" s="7"/>
      <c r="B198" s="8"/>
      <c r="C198" s="6"/>
      <c r="D198" s="6" t="s">
        <v>214</v>
      </c>
      <c r="E198" s="5">
        <v>41</v>
      </c>
      <c r="F198" s="701" t="s">
        <v>570</v>
      </c>
      <c r="G198" s="701"/>
      <c r="H198" s="6"/>
      <c r="I198" s="6"/>
      <c r="J198" s="6"/>
      <c r="K198" s="9"/>
      <c r="L198" s="9"/>
      <c r="M198" s="9"/>
    </row>
    <row r="199" spans="1:13" ht="11.85" customHeight="1" outlineLevel="3">
      <c r="A199" s="7"/>
      <c r="B199" s="8"/>
      <c r="C199" s="6"/>
      <c r="D199" s="6" t="s">
        <v>215</v>
      </c>
      <c r="E199" s="5">
        <v>41</v>
      </c>
      <c r="F199" s="701" t="s">
        <v>571</v>
      </c>
      <c r="G199" s="701"/>
      <c r="H199" s="6"/>
      <c r="I199" s="6"/>
      <c r="J199" s="6"/>
      <c r="K199" s="9"/>
      <c r="L199" s="9"/>
      <c r="M199" s="9"/>
    </row>
    <row r="200" spans="1:13" ht="11.85" customHeight="1" outlineLevel="3">
      <c r="A200" s="7"/>
      <c r="B200" s="8"/>
      <c r="C200" s="6"/>
      <c r="D200" s="6" t="s">
        <v>184</v>
      </c>
      <c r="E200" s="5">
        <v>23</v>
      </c>
      <c r="F200" s="701" t="s">
        <v>572</v>
      </c>
      <c r="G200" s="701"/>
      <c r="H200" s="6"/>
      <c r="I200" s="6"/>
      <c r="J200" s="6"/>
      <c r="K200" s="9"/>
      <c r="L200" s="9"/>
      <c r="M200" s="9"/>
    </row>
    <row r="201" spans="1:13" ht="11.85" customHeight="1" outlineLevel="3">
      <c r="A201" s="7"/>
      <c r="B201" s="8"/>
      <c r="C201" s="6"/>
      <c r="D201" s="6" t="s">
        <v>197</v>
      </c>
      <c r="E201" s="5">
        <v>32</v>
      </c>
      <c r="F201" s="701" t="s">
        <v>573</v>
      </c>
      <c r="G201" s="701"/>
      <c r="H201" s="6"/>
      <c r="I201" s="6"/>
      <c r="J201" s="6"/>
      <c r="K201" s="9"/>
      <c r="L201" s="9"/>
      <c r="M201" s="9"/>
    </row>
    <row r="202" spans="1:13" ht="11.85" customHeight="1" outlineLevel="3">
      <c r="A202" s="7"/>
      <c r="B202" s="8"/>
      <c r="C202" s="6"/>
      <c r="D202" s="6" t="s">
        <v>196</v>
      </c>
      <c r="E202" s="5">
        <v>24</v>
      </c>
      <c r="F202" s="701" t="s">
        <v>574</v>
      </c>
      <c r="G202" s="701"/>
      <c r="H202" s="6"/>
      <c r="I202" s="6"/>
      <c r="J202" s="6"/>
      <c r="K202" s="9"/>
      <c r="L202" s="9"/>
      <c r="M202" s="9"/>
    </row>
    <row r="203" spans="1:13" ht="11.85" customHeight="1" outlineLevel="3">
      <c r="A203" s="7"/>
      <c r="B203" s="8"/>
      <c r="C203" s="6"/>
      <c r="D203" s="6" t="s">
        <v>202</v>
      </c>
      <c r="E203" s="5">
        <v>57</v>
      </c>
      <c r="F203" s="701" t="s">
        <v>575</v>
      </c>
      <c r="G203" s="701"/>
      <c r="H203" s="6"/>
      <c r="I203" s="6"/>
      <c r="J203" s="6"/>
      <c r="K203" s="9"/>
      <c r="L203" s="9"/>
      <c r="M203" s="10">
        <v>141</v>
      </c>
    </row>
    <row r="204" spans="1:13" ht="11.85" customHeight="1" outlineLevel="3">
      <c r="A204" s="7"/>
      <c r="B204" s="8"/>
      <c r="C204" s="6"/>
      <c r="D204" s="6" t="s">
        <v>134</v>
      </c>
      <c r="E204" s="5">
        <v>36</v>
      </c>
      <c r="F204" s="701" t="s">
        <v>576</v>
      </c>
      <c r="G204" s="701"/>
      <c r="H204" s="6"/>
      <c r="I204" s="6"/>
      <c r="J204" s="6"/>
      <c r="K204" s="9"/>
      <c r="L204" s="9"/>
      <c r="M204" s="9"/>
    </row>
    <row r="205" spans="1:13" ht="11.85" customHeight="1" outlineLevel="3">
      <c r="A205" s="7"/>
      <c r="B205" s="8"/>
      <c r="C205" s="6"/>
      <c r="D205" s="6" t="s">
        <v>185</v>
      </c>
      <c r="E205" s="5">
        <v>36</v>
      </c>
      <c r="F205" s="701" t="s">
        <v>577</v>
      </c>
      <c r="G205" s="701"/>
      <c r="H205" s="6"/>
      <c r="I205" s="6"/>
      <c r="J205" s="6"/>
      <c r="K205" s="9"/>
      <c r="L205" s="9"/>
      <c r="M205" s="9"/>
    </row>
    <row r="206" spans="1:13" ht="11.85" customHeight="1" outlineLevel="3">
      <c r="A206" s="7"/>
      <c r="B206" s="8"/>
      <c r="C206" s="6"/>
      <c r="D206" s="6" t="s">
        <v>188</v>
      </c>
      <c r="E206" s="5">
        <v>51</v>
      </c>
      <c r="F206" s="701" t="s">
        <v>578</v>
      </c>
      <c r="G206" s="701"/>
      <c r="H206" s="6"/>
      <c r="I206" s="6"/>
      <c r="J206" s="6"/>
      <c r="K206" s="9"/>
      <c r="L206" s="9"/>
      <c r="M206" s="9"/>
    </row>
    <row r="207" spans="1:13" ht="11.85" customHeight="1" outlineLevel="3">
      <c r="A207" s="7"/>
      <c r="B207" s="8"/>
      <c r="C207" s="6"/>
      <c r="D207" s="6" t="s">
        <v>189</v>
      </c>
      <c r="E207" s="5">
        <v>41</v>
      </c>
      <c r="F207" s="701" t="s">
        <v>579</v>
      </c>
      <c r="G207" s="701"/>
      <c r="H207" s="6"/>
      <c r="I207" s="6"/>
      <c r="J207" s="6"/>
      <c r="K207" s="9"/>
      <c r="L207" s="9"/>
      <c r="M207" s="9"/>
    </row>
    <row r="208" spans="1:13" ht="11.85" customHeight="1" outlineLevel="3">
      <c r="A208" s="7"/>
      <c r="B208" s="8"/>
      <c r="C208" s="6"/>
      <c r="D208" s="6" t="s">
        <v>186</v>
      </c>
      <c r="E208" s="5">
        <v>46</v>
      </c>
      <c r="F208" s="701" t="s">
        <v>580</v>
      </c>
      <c r="G208" s="701"/>
      <c r="H208" s="6"/>
      <c r="I208" s="6"/>
      <c r="J208" s="6"/>
      <c r="K208" s="9"/>
      <c r="L208" s="9"/>
      <c r="M208" s="9"/>
    </row>
    <row r="209" spans="1:20" ht="11.85" customHeight="1" outlineLevel="3">
      <c r="A209" s="7"/>
      <c r="B209" s="8"/>
      <c r="C209" s="6"/>
      <c r="D209" s="6" t="s">
        <v>187</v>
      </c>
      <c r="E209" s="5">
        <v>57</v>
      </c>
      <c r="F209" s="701" t="s">
        <v>581</v>
      </c>
      <c r="G209" s="701"/>
      <c r="H209" s="6"/>
      <c r="I209" s="6"/>
      <c r="J209" s="6"/>
      <c r="K209" s="9"/>
      <c r="L209" s="9"/>
      <c r="M209" s="9"/>
    </row>
    <row r="210" spans="1:20" ht="11.85" customHeight="1" outlineLevel="3">
      <c r="A210" s="7"/>
      <c r="B210" s="8"/>
      <c r="C210" s="6"/>
      <c r="D210" s="6" t="s">
        <v>178</v>
      </c>
      <c r="E210" s="5">
        <v>58</v>
      </c>
      <c r="F210" s="701" t="s">
        <v>582</v>
      </c>
      <c r="G210" s="701"/>
      <c r="H210" s="6"/>
      <c r="I210" s="6"/>
      <c r="J210" s="6"/>
      <c r="K210" s="9"/>
      <c r="L210" s="9"/>
      <c r="M210" s="10">
        <v>19</v>
      </c>
    </row>
    <row r="211" spans="1:20" ht="11.85" customHeight="1" outlineLevel="3">
      <c r="A211" s="7"/>
      <c r="B211" s="8"/>
      <c r="C211" s="6"/>
      <c r="D211" s="6" t="s">
        <v>179</v>
      </c>
      <c r="E211" s="5">
        <v>58</v>
      </c>
      <c r="F211" s="701" t="s">
        <v>583</v>
      </c>
      <c r="G211" s="701"/>
      <c r="H211" s="6"/>
      <c r="I211" s="6"/>
      <c r="J211" s="6"/>
      <c r="K211" s="9"/>
      <c r="L211" s="9"/>
      <c r="M211" s="10">
        <v>19</v>
      </c>
    </row>
    <row r="212" spans="1:20" ht="11.85" customHeight="1" outlineLevel="3">
      <c r="A212" s="7"/>
      <c r="B212" s="8"/>
      <c r="C212" s="6"/>
      <c r="D212" s="6" t="s">
        <v>181</v>
      </c>
      <c r="E212" s="5">
        <v>67</v>
      </c>
      <c r="F212" s="701" t="s">
        <v>584</v>
      </c>
      <c r="G212" s="701"/>
      <c r="H212" s="6"/>
      <c r="I212" s="6"/>
      <c r="J212" s="6"/>
      <c r="K212" s="9"/>
      <c r="L212" s="9"/>
      <c r="M212" s="10">
        <v>28</v>
      </c>
    </row>
    <row r="213" spans="1:20" ht="11.85" customHeight="1" outlineLevel="3">
      <c r="A213" s="7"/>
      <c r="B213" s="8"/>
      <c r="C213" s="6"/>
      <c r="D213" s="6" t="s">
        <v>180</v>
      </c>
      <c r="E213" s="5">
        <v>52</v>
      </c>
      <c r="F213" s="701" t="s">
        <v>585</v>
      </c>
      <c r="G213" s="701"/>
      <c r="H213" s="6"/>
      <c r="I213" s="6"/>
      <c r="J213" s="6"/>
      <c r="K213" s="9"/>
      <c r="L213" s="9"/>
      <c r="M213" s="10">
        <v>18</v>
      </c>
    </row>
    <row r="214" spans="1:20" ht="11.85" customHeight="1" outlineLevel="3">
      <c r="A214" s="7"/>
      <c r="B214" s="8"/>
      <c r="C214" s="6"/>
      <c r="D214" s="6" t="s">
        <v>182</v>
      </c>
      <c r="E214" s="5">
        <v>48</v>
      </c>
      <c r="F214" s="701" t="s">
        <v>586</v>
      </c>
      <c r="G214" s="701"/>
      <c r="H214" s="6"/>
      <c r="I214" s="6"/>
      <c r="J214" s="6"/>
      <c r="K214" s="9"/>
      <c r="L214" s="9"/>
      <c r="M214" s="10">
        <v>16</v>
      </c>
    </row>
    <row r="215" spans="1:20" ht="11.85" customHeight="1" outlineLevel="3">
      <c r="A215" s="7"/>
      <c r="B215" s="8"/>
      <c r="C215" s="6"/>
      <c r="D215" s="6" t="s">
        <v>183</v>
      </c>
      <c r="E215" s="5">
        <v>63</v>
      </c>
      <c r="F215" s="701" t="s">
        <v>587</v>
      </c>
      <c r="G215" s="701"/>
      <c r="H215" s="6"/>
      <c r="I215" s="6"/>
      <c r="J215" s="6"/>
      <c r="K215" s="9"/>
      <c r="L215" s="9"/>
      <c r="M215" s="10">
        <v>155</v>
      </c>
    </row>
    <row r="216" spans="1:20" ht="11.85" customHeight="1" outlineLevel="3">
      <c r="A216" s="7"/>
      <c r="B216" s="8"/>
      <c r="C216" s="6"/>
      <c r="D216" s="6" t="s">
        <v>192</v>
      </c>
      <c r="E216" s="5">
        <v>47</v>
      </c>
      <c r="F216" s="701" t="s">
        <v>588</v>
      </c>
      <c r="G216" s="701"/>
      <c r="H216" s="6"/>
      <c r="I216" s="6"/>
      <c r="J216" s="6"/>
      <c r="K216" s="9"/>
      <c r="L216" s="9"/>
      <c r="M216" s="9"/>
    </row>
    <row r="217" spans="1:20" ht="11.85" customHeight="1" outlineLevel="3">
      <c r="A217" s="7"/>
      <c r="B217" s="8"/>
      <c r="C217" s="6"/>
      <c r="D217" s="6" t="s">
        <v>191</v>
      </c>
      <c r="E217" s="5">
        <v>34</v>
      </c>
      <c r="F217" s="701" t="s">
        <v>589</v>
      </c>
      <c r="G217" s="701"/>
      <c r="H217" s="6"/>
      <c r="I217" s="6"/>
      <c r="J217" s="6"/>
      <c r="K217" s="9"/>
      <c r="L217" s="9"/>
      <c r="M217" s="9"/>
      <c r="T217" s="205">
        <v>4</v>
      </c>
    </row>
    <row r="218" spans="1:20" ht="11.85" customHeight="1" outlineLevel="2">
      <c r="A218" s="700" t="s">
        <v>497</v>
      </c>
      <c r="B218" s="700"/>
      <c r="C218" s="700"/>
      <c r="D218" s="700"/>
      <c r="E218" s="700"/>
      <c r="F218" s="700"/>
      <c r="G218" s="700"/>
      <c r="H218" s="700"/>
      <c r="I218" s="700"/>
      <c r="J218" s="700"/>
      <c r="K218" s="700"/>
      <c r="L218" s="700"/>
      <c r="M218" s="700"/>
      <c r="T218" s="205">
        <v>0</v>
      </c>
    </row>
    <row r="219" spans="1:20" ht="11.85" customHeight="1" outlineLevel="3">
      <c r="A219" s="7"/>
      <c r="B219" s="8"/>
      <c r="C219" s="6"/>
      <c r="D219" s="6" t="s">
        <v>193</v>
      </c>
      <c r="E219" s="5">
        <v>30</v>
      </c>
      <c r="F219" s="701" t="s">
        <v>590</v>
      </c>
      <c r="G219" s="701"/>
      <c r="H219" s="6"/>
      <c r="I219" s="6"/>
      <c r="J219" s="6"/>
      <c r="K219" s="9"/>
      <c r="L219" s="9"/>
      <c r="M219" s="10">
        <v>234</v>
      </c>
      <c r="T219" s="205">
        <v>172</v>
      </c>
    </row>
    <row r="220" spans="1:20" ht="11.85" customHeight="1" outlineLevel="3">
      <c r="A220" s="7"/>
      <c r="B220" s="8"/>
      <c r="C220" s="6"/>
      <c r="D220" s="6" t="s">
        <v>194</v>
      </c>
      <c r="E220" s="5">
        <v>59</v>
      </c>
      <c r="F220" s="701" t="s">
        <v>591</v>
      </c>
      <c r="G220" s="701"/>
      <c r="H220" s="6"/>
      <c r="I220" s="6"/>
      <c r="J220" s="6"/>
      <c r="K220" s="9"/>
      <c r="L220" s="9"/>
      <c r="M220" s="10">
        <v>24</v>
      </c>
      <c r="T220" s="205">
        <v>0</v>
      </c>
    </row>
    <row r="221" spans="1:20" ht="11.85" customHeight="1" outlineLevel="3">
      <c r="A221" s="7"/>
      <c r="B221" s="8"/>
      <c r="C221" s="6"/>
      <c r="D221" s="6" t="s">
        <v>128</v>
      </c>
      <c r="E221" s="5">
        <v>48</v>
      </c>
      <c r="F221" s="701" t="s">
        <v>592</v>
      </c>
      <c r="G221" s="701"/>
      <c r="H221" s="6"/>
      <c r="I221" s="6"/>
      <c r="J221" s="6"/>
      <c r="K221" s="9"/>
      <c r="L221" s="9"/>
      <c r="M221" s="10">
        <v>288</v>
      </c>
      <c r="T221" s="205">
        <v>97</v>
      </c>
    </row>
    <row r="222" spans="1:20" ht="11.85" customHeight="1" outlineLevel="3">
      <c r="A222" s="7"/>
      <c r="B222" s="8"/>
      <c r="C222" s="6"/>
      <c r="D222" s="6" t="s">
        <v>195</v>
      </c>
      <c r="E222" s="5">
        <v>59</v>
      </c>
      <c r="F222" s="701" t="s">
        <v>593</v>
      </c>
      <c r="G222" s="701"/>
      <c r="H222" s="6"/>
      <c r="I222" s="6"/>
      <c r="J222" s="6"/>
      <c r="K222" s="9"/>
      <c r="L222" s="9"/>
      <c r="M222" s="10">
        <v>52</v>
      </c>
      <c r="T222" s="205">
        <v>0</v>
      </c>
    </row>
    <row r="223" spans="1:20" ht="11.85" customHeight="1" outlineLevel="3">
      <c r="A223" s="7"/>
      <c r="B223" s="8"/>
      <c r="C223" s="6"/>
      <c r="D223" s="6" t="s">
        <v>190</v>
      </c>
      <c r="E223" s="5">
        <v>52</v>
      </c>
      <c r="F223" s="701" t="s">
        <v>594</v>
      </c>
      <c r="G223" s="701"/>
      <c r="H223" s="6"/>
      <c r="I223" s="6"/>
      <c r="J223" s="6"/>
      <c r="K223" s="9"/>
      <c r="L223" s="9"/>
      <c r="M223" s="11">
        <v>1650</v>
      </c>
      <c r="T223" s="205">
        <v>261</v>
      </c>
    </row>
    <row r="224" spans="1:20" ht="11.85" customHeight="1" outlineLevel="3">
      <c r="A224" s="7"/>
      <c r="B224" s="8"/>
      <c r="C224" s="6"/>
      <c r="D224" s="6" t="s">
        <v>200</v>
      </c>
      <c r="E224" s="5">
        <v>65</v>
      </c>
      <c r="F224" s="701" t="s">
        <v>595</v>
      </c>
      <c r="G224" s="701"/>
      <c r="H224" s="6"/>
      <c r="I224" s="6"/>
      <c r="J224" s="6"/>
      <c r="K224" s="9"/>
      <c r="L224" s="9"/>
      <c r="M224" s="9"/>
      <c r="T224" s="205">
        <v>0</v>
      </c>
    </row>
    <row r="225" spans="1:20" ht="11.85" customHeight="1" outlineLevel="3">
      <c r="A225" s="7"/>
      <c r="B225" s="8"/>
      <c r="C225" s="6"/>
      <c r="D225" s="6" t="s">
        <v>201</v>
      </c>
      <c r="E225" s="5">
        <v>58</v>
      </c>
      <c r="F225" s="701" t="s">
        <v>596</v>
      </c>
      <c r="G225" s="701"/>
      <c r="H225" s="6"/>
      <c r="I225" s="6"/>
      <c r="J225" s="6"/>
      <c r="K225" s="9"/>
      <c r="L225" s="9"/>
      <c r="M225" s="9"/>
      <c r="T225" s="205">
        <v>540</v>
      </c>
    </row>
    <row r="226" spans="1:20" ht="11.85" customHeight="1" outlineLevel="3">
      <c r="A226" s="7"/>
      <c r="B226" s="8"/>
      <c r="C226" s="6"/>
      <c r="D226" s="6" t="s">
        <v>181</v>
      </c>
      <c r="E226" s="5">
        <v>67</v>
      </c>
      <c r="F226" s="701" t="s">
        <v>597</v>
      </c>
      <c r="G226" s="701"/>
      <c r="H226" s="6"/>
      <c r="I226" s="6"/>
      <c r="J226" s="6"/>
      <c r="K226" s="9"/>
      <c r="L226" s="9"/>
      <c r="M226" s="10">
        <v>237</v>
      </c>
      <c r="T226" s="205">
        <v>52</v>
      </c>
    </row>
    <row r="227" spans="1:20" ht="11.85" customHeight="1" outlineLevel="3">
      <c r="A227" s="7"/>
      <c r="B227" s="8"/>
      <c r="C227" s="6"/>
      <c r="D227" s="6" t="s">
        <v>207</v>
      </c>
      <c r="E227" s="5">
        <v>23</v>
      </c>
      <c r="F227" s="701" t="s">
        <v>598</v>
      </c>
      <c r="G227" s="701"/>
      <c r="H227" s="6"/>
      <c r="I227" s="6"/>
      <c r="J227" s="6"/>
      <c r="K227" s="9"/>
      <c r="L227" s="9"/>
      <c r="M227" s="10">
        <v>28</v>
      </c>
      <c r="T227" s="205">
        <v>531</v>
      </c>
    </row>
    <row r="228" spans="1:20" ht="11.85" customHeight="1" outlineLevel="3">
      <c r="A228" s="7"/>
      <c r="B228" s="8"/>
      <c r="C228" s="6"/>
      <c r="D228" s="6" t="s">
        <v>208</v>
      </c>
      <c r="E228" s="5">
        <v>23</v>
      </c>
      <c r="F228" s="701" t="s">
        <v>599</v>
      </c>
      <c r="G228" s="701"/>
      <c r="H228" s="6"/>
      <c r="I228" s="6"/>
      <c r="J228" s="6"/>
      <c r="K228" s="9"/>
      <c r="L228" s="9"/>
      <c r="M228" s="10">
        <v>43</v>
      </c>
      <c r="T228" s="205">
        <v>0</v>
      </c>
    </row>
    <row r="229" spans="1:20" ht="11.85" customHeight="1" outlineLevel="3">
      <c r="A229" s="7"/>
      <c r="B229" s="8"/>
      <c r="C229" s="6"/>
      <c r="D229" s="6" t="s">
        <v>209</v>
      </c>
      <c r="E229" s="5">
        <v>27</v>
      </c>
      <c r="F229" s="701" t="s">
        <v>600</v>
      </c>
      <c r="G229" s="701"/>
      <c r="H229" s="6"/>
      <c r="I229" s="6"/>
      <c r="J229" s="6"/>
      <c r="K229" s="9"/>
      <c r="L229" s="9"/>
      <c r="M229" s="10">
        <v>16</v>
      </c>
    </row>
    <row r="230" spans="1:20" ht="11.85" customHeight="1" outlineLevel="3">
      <c r="A230" s="7"/>
      <c r="B230" s="8"/>
      <c r="C230" s="6"/>
      <c r="D230" s="6" t="s">
        <v>210</v>
      </c>
      <c r="E230" s="5">
        <v>21</v>
      </c>
      <c r="F230" s="701" t="s">
        <v>601</v>
      </c>
      <c r="G230" s="701"/>
      <c r="H230" s="6"/>
      <c r="I230" s="6"/>
      <c r="J230" s="6"/>
      <c r="K230" s="9"/>
      <c r="L230" s="9"/>
      <c r="M230" s="9"/>
    </row>
    <row r="231" spans="1:20" ht="11.85" customHeight="1" outlineLevel="3">
      <c r="A231" s="7"/>
      <c r="B231" s="8"/>
      <c r="C231" s="6"/>
      <c r="D231" s="6" t="s">
        <v>211</v>
      </c>
      <c r="E231" s="5">
        <v>21</v>
      </c>
      <c r="F231" s="701" t="s">
        <v>602</v>
      </c>
      <c r="G231" s="701"/>
      <c r="H231" s="6"/>
      <c r="I231" s="6"/>
      <c r="J231" s="6"/>
      <c r="K231" s="9"/>
      <c r="L231" s="9"/>
      <c r="M231" s="9"/>
    </row>
    <row r="232" spans="1:20" ht="11.85" customHeight="1" outlineLevel="3">
      <c r="A232" s="7"/>
      <c r="B232" s="8"/>
      <c r="C232" s="6"/>
      <c r="D232" s="6" t="s">
        <v>212</v>
      </c>
      <c r="E232" s="5">
        <v>21</v>
      </c>
      <c r="F232" s="701" t="s">
        <v>603</v>
      </c>
      <c r="G232" s="701"/>
      <c r="H232" s="6"/>
      <c r="I232" s="6"/>
      <c r="J232" s="6"/>
      <c r="K232" s="9"/>
      <c r="L232" s="9"/>
      <c r="M232" s="9"/>
    </row>
    <row r="233" spans="1:20" ht="11.85" customHeight="1" outlineLevel="3">
      <c r="A233" s="7"/>
      <c r="B233" s="8"/>
      <c r="C233" s="6"/>
      <c r="D233" s="6" t="s">
        <v>213</v>
      </c>
      <c r="E233" s="5">
        <v>2</v>
      </c>
      <c r="F233" s="701" t="s">
        <v>604</v>
      </c>
      <c r="G233" s="701"/>
      <c r="H233" s="6"/>
      <c r="I233" s="6"/>
      <c r="J233" s="6"/>
      <c r="K233" s="9"/>
      <c r="L233" s="9"/>
      <c r="M233" s="9"/>
    </row>
    <row r="234" spans="1:20" ht="11.85" customHeight="1" outlineLevel="2">
      <c r="A234" s="700" t="s">
        <v>431</v>
      </c>
      <c r="B234" s="700"/>
      <c r="C234" s="700"/>
      <c r="D234" s="700"/>
      <c r="E234" s="700"/>
      <c r="F234" s="700"/>
      <c r="G234" s="700"/>
      <c r="H234" s="700"/>
      <c r="I234" s="700"/>
      <c r="J234" s="700"/>
      <c r="K234" s="700"/>
      <c r="L234" s="700"/>
      <c r="M234" s="700"/>
    </row>
    <row r="235" spans="1:20" ht="11.85" customHeight="1" outlineLevel="3">
      <c r="A235" s="7"/>
      <c r="B235" s="8"/>
      <c r="C235" s="6"/>
      <c r="D235" s="6" t="s">
        <v>203</v>
      </c>
      <c r="E235" s="5">
        <v>68</v>
      </c>
      <c r="F235" s="701" t="s">
        <v>605</v>
      </c>
      <c r="G235" s="701"/>
      <c r="H235" s="6"/>
      <c r="I235" s="6"/>
      <c r="J235" s="6"/>
      <c r="K235" s="9"/>
      <c r="L235" s="9"/>
      <c r="M235" s="9"/>
    </row>
    <row r="236" spans="1:20" ht="11.85" customHeight="1" outlineLevel="3">
      <c r="A236" s="7"/>
      <c r="B236" s="8"/>
      <c r="C236" s="6"/>
      <c r="D236" s="6" t="s">
        <v>143</v>
      </c>
      <c r="E236" s="5">
        <v>75</v>
      </c>
      <c r="F236" s="701" t="s">
        <v>606</v>
      </c>
      <c r="G236" s="701"/>
      <c r="H236" s="6"/>
      <c r="I236" s="6"/>
      <c r="J236" s="6"/>
      <c r="K236" s="9"/>
      <c r="L236" s="9"/>
      <c r="M236" s="10">
        <v>253</v>
      </c>
    </row>
    <row r="237" spans="1:20" ht="11.85" customHeight="1" outlineLevel="3">
      <c r="A237" s="7"/>
      <c r="B237" s="8"/>
      <c r="C237" s="6"/>
      <c r="D237" s="6" t="s">
        <v>204</v>
      </c>
      <c r="E237" s="5">
        <v>34</v>
      </c>
      <c r="F237" s="701" t="s">
        <v>607</v>
      </c>
      <c r="G237" s="701"/>
      <c r="H237" s="6"/>
      <c r="I237" s="6"/>
      <c r="J237" s="6"/>
      <c r="K237" s="9"/>
      <c r="L237" s="9"/>
      <c r="M237" s="9"/>
    </row>
    <row r="238" spans="1:20" ht="11.85" customHeight="1" outlineLevel="3">
      <c r="A238" s="7"/>
      <c r="B238" s="8"/>
      <c r="C238" s="6"/>
      <c r="D238" s="6" t="s">
        <v>205</v>
      </c>
      <c r="E238" s="5">
        <v>72</v>
      </c>
      <c r="F238" s="701" t="s">
        <v>608</v>
      </c>
      <c r="G238" s="701"/>
      <c r="H238" s="6"/>
      <c r="I238" s="6"/>
      <c r="J238" s="6"/>
      <c r="K238" s="9"/>
      <c r="L238" s="9"/>
      <c r="M238" s="9"/>
    </row>
    <row r="239" spans="1:20" ht="11.85" customHeight="1" outlineLevel="3">
      <c r="A239" s="7"/>
      <c r="B239" s="8"/>
      <c r="C239" s="6"/>
      <c r="D239" s="6" t="s">
        <v>206</v>
      </c>
      <c r="E239" s="5">
        <v>79</v>
      </c>
      <c r="F239" s="701" t="s">
        <v>609</v>
      </c>
      <c r="G239" s="701"/>
      <c r="H239" s="6"/>
      <c r="I239" s="6"/>
      <c r="J239" s="6"/>
      <c r="K239" s="9"/>
      <c r="L239" s="9"/>
      <c r="M239" s="9"/>
    </row>
    <row r="240" spans="1:20" ht="11.85" customHeight="1" outlineLevel="3">
      <c r="A240" s="7"/>
      <c r="B240" s="8"/>
      <c r="C240" s="6"/>
      <c r="D240" s="6" t="s">
        <v>198</v>
      </c>
      <c r="E240" s="5">
        <v>22</v>
      </c>
      <c r="F240" s="701" t="s">
        <v>610</v>
      </c>
      <c r="G240" s="701"/>
      <c r="H240" s="6"/>
      <c r="I240" s="6"/>
      <c r="J240" s="6"/>
      <c r="K240" s="9"/>
      <c r="L240" s="9"/>
      <c r="M240" s="9"/>
    </row>
    <row r="241" spans="1:13" ht="11.85" customHeight="1" outlineLevel="3">
      <c r="A241" s="7"/>
      <c r="B241" s="8"/>
      <c r="C241" s="6"/>
      <c r="D241" s="6" t="s">
        <v>199</v>
      </c>
      <c r="E241" s="5">
        <v>70</v>
      </c>
      <c r="F241" s="701" t="s">
        <v>611</v>
      </c>
      <c r="G241" s="701"/>
      <c r="H241" s="6"/>
      <c r="I241" s="6"/>
      <c r="J241" s="6"/>
      <c r="K241" s="9"/>
      <c r="L241" s="9"/>
      <c r="M241" s="9"/>
    </row>
    <row r="242" spans="1:13" ht="11.85" customHeight="1" outlineLevel="1">
      <c r="A242" s="699" t="s">
        <v>216</v>
      </c>
      <c r="B242" s="699"/>
      <c r="C242" s="699"/>
      <c r="D242" s="699"/>
      <c r="E242" s="699"/>
      <c r="F242" s="699"/>
      <c r="G242" s="699"/>
      <c r="H242" s="699"/>
      <c r="I242" s="699"/>
      <c r="J242" s="699"/>
      <c r="K242" s="699"/>
      <c r="L242" s="699"/>
      <c r="M242" s="699"/>
    </row>
    <row r="243" spans="1:13" ht="11.85" customHeight="1" outlineLevel="2">
      <c r="A243" s="700" t="s">
        <v>404</v>
      </c>
      <c r="B243" s="700"/>
      <c r="C243" s="700"/>
      <c r="D243" s="700"/>
      <c r="E243" s="700"/>
      <c r="F243" s="700"/>
      <c r="G243" s="700"/>
      <c r="H243" s="700"/>
      <c r="I243" s="700"/>
      <c r="J243" s="700"/>
      <c r="K243" s="700"/>
      <c r="L243" s="700"/>
      <c r="M243" s="700"/>
    </row>
    <row r="244" spans="1:13" ht="11.85" customHeight="1" outlineLevel="3">
      <c r="A244" s="7"/>
      <c r="B244" s="8"/>
      <c r="C244" s="6"/>
      <c r="D244" s="6" t="s">
        <v>81</v>
      </c>
      <c r="E244" s="5">
        <v>90</v>
      </c>
      <c r="F244" s="701" t="s">
        <v>612</v>
      </c>
      <c r="G244" s="701"/>
      <c r="H244" s="6"/>
      <c r="I244" s="6"/>
      <c r="J244" s="6"/>
      <c r="K244" s="9"/>
      <c r="L244" s="9"/>
      <c r="M244" s="9"/>
    </row>
    <row r="245" spans="1:13" ht="11.85" customHeight="1" outlineLevel="3">
      <c r="A245" s="7"/>
      <c r="B245" s="8"/>
      <c r="C245" s="6"/>
      <c r="D245" s="6" t="s">
        <v>217</v>
      </c>
      <c r="E245" s="5">
        <v>126</v>
      </c>
      <c r="F245" s="701" t="s">
        <v>613</v>
      </c>
      <c r="G245" s="701"/>
      <c r="H245" s="6"/>
      <c r="I245" s="6"/>
      <c r="J245" s="6"/>
      <c r="K245" s="9"/>
      <c r="L245" s="9"/>
      <c r="M245" s="9"/>
    </row>
    <row r="246" spans="1:13" ht="11.85" customHeight="1" outlineLevel="3">
      <c r="A246" s="7"/>
      <c r="B246" s="8"/>
      <c r="C246" s="6"/>
      <c r="D246" s="6" t="s">
        <v>288</v>
      </c>
      <c r="E246" s="5">
        <v>126</v>
      </c>
      <c r="F246" s="701" t="s">
        <v>614</v>
      </c>
      <c r="G246" s="701"/>
      <c r="H246" s="6"/>
      <c r="I246" s="6"/>
      <c r="J246" s="6"/>
      <c r="K246" s="9"/>
      <c r="L246" s="9"/>
      <c r="M246" s="9"/>
    </row>
    <row r="247" spans="1:13" ht="11.85" customHeight="1" outlineLevel="3">
      <c r="A247" s="7"/>
      <c r="B247" s="8"/>
      <c r="C247" s="6"/>
      <c r="D247" s="6" t="s">
        <v>179</v>
      </c>
      <c r="E247" s="5">
        <v>58</v>
      </c>
      <c r="F247" s="701" t="s">
        <v>615</v>
      </c>
      <c r="G247" s="701"/>
      <c r="H247" s="6"/>
      <c r="I247" s="6"/>
      <c r="J247" s="6"/>
      <c r="K247" s="9"/>
      <c r="L247" s="9"/>
      <c r="M247" s="9"/>
    </row>
    <row r="248" spans="1:13" ht="11.85" customHeight="1" outlineLevel="3">
      <c r="A248" s="7"/>
      <c r="B248" s="8"/>
      <c r="C248" s="6"/>
      <c r="D248" s="6" t="s">
        <v>246</v>
      </c>
      <c r="E248" s="5">
        <v>56</v>
      </c>
      <c r="F248" s="701" t="s">
        <v>616</v>
      </c>
      <c r="G248" s="701"/>
      <c r="H248" s="6"/>
      <c r="I248" s="6"/>
      <c r="J248" s="6"/>
      <c r="K248" s="9"/>
      <c r="L248" s="9"/>
      <c r="M248" s="9"/>
    </row>
    <row r="249" spans="1:13" ht="11.85" customHeight="1" outlineLevel="3">
      <c r="A249" s="7"/>
      <c r="B249" s="8"/>
      <c r="C249" s="6"/>
      <c r="D249" s="6" t="s">
        <v>244</v>
      </c>
      <c r="E249" s="5">
        <v>6</v>
      </c>
      <c r="F249" s="701" t="s">
        <v>617</v>
      </c>
      <c r="G249" s="701"/>
      <c r="H249" s="6"/>
      <c r="I249" s="6"/>
      <c r="J249" s="6"/>
      <c r="K249" s="9"/>
      <c r="L249" s="9"/>
      <c r="M249" s="9"/>
    </row>
    <row r="250" spans="1:13" ht="11.85" customHeight="1" outlineLevel="3">
      <c r="A250" s="7"/>
      <c r="B250" s="8"/>
      <c r="C250" s="6"/>
      <c r="D250" s="6" t="s">
        <v>243</v>
      </c>
      <c r="E250" s="5">
        <v>111</v>
      </c>
      <c r="F250" s="701" t="s">
        <v>618</v>
      </c>
      <c r="G250" s="701"/>
      <c r="H250" s="6"/>
      <c r="I250" s="6"/>
      <c r="J250" s="6"/>
      <c r="K250" s="9"/>
      <c r="L250" s="9"/>
      <c r="M250" s="9"/>
    </row>
    <row r="251" spans="1:13" ht="11.85" customHeight="1" outlineLevel="3">
      <c r="A251" s="7"/>
      <c r="B251" s="8"/>
      <c r="C251" s="6"/>
      <c r="D251" s="6" t="s">
        <v>55</v>
      </c>
      <c r="E251" s="5">
        <v>16</v>
      </c>
      <c r="F251" s="701" t="s">
        <v>619</v>
      </c>
      <c r="G251" s="701"/>
      <c r="H251" s="6"/>
      <c r="I251" s="6"/>
      <c r="J251" s="6"/>
      <c r="K251" s="9"/>
      <c r="L251" s="9"/>
      <c r="M251" s="9"/>
    </row>
    <row r="252" spans="1:13" ht="11.85" customHeight="1" outlineLevel="3">
      <c r="A252" s="7"/>
      <c r="B252" s="8"/>
      <c r="C252" s="6"/>
      <c r="D252" s="6" t="s">
        <v>245</v>
      </c>
      <c r="E252" s="5">
        <v>6</v>
      </c>
      <c r="F252" s="701" t="s">
        <v>620</v>
      </c>
      <c r="G252" s="701"/>
      <c r="H252" s="6"/>
      <c r="I252" s="6"/>
      <c r="J252" s="6"/>
      <c r="K252" s="9"/>
      <c r="L252" s="9"/>
      <c r="M252" s="9"/>
    </row>
    <row r="253" spans="1:13" ht="11.85" customHeight="1" outlineLevel="3">
      <c r="A253" s="7"/>
      <c r="B253" s="8"/>
      <c r="C253" s="6"/>
      <c r="D253" s="6" t="s">
        <v>254</v>
      </c>
      <c r="E253" s="5">
        <v>85</v>
      </c>
      <c r="F253" s="701" t="s">
        <v>621</v>
      </c>
      <c r="G253" s="701"/>
      <c r="H253" s="6"/>
      <c r="I253" s="6"/>
      <c r="J253" s="6"/>
      <c r="K253" s="9"/>
      <c r="L253" s="9"/>
      <c r="M253" s="9"/>
    </row>
    <row r="254" spans="1:13" ht="11.85" customHeight="1" outlineLevel="3">
      <c r="A254" s="7"/>
      <c r="B254" s="8"/>
      <c r="C254" s="6"/>
      <c r="D254" s="6" t="s">
        <v>228</v>
      </c>
      <c r="E254" s="5">
        <v>90</v>
      </c>
      <c r="F254" s="701" t="s">
        <v>622</v>
      </c>
      <c r="G254" s="701"/>
      <c r="H254" s="6"/>
      <c r="I254" s="6"/>
      <c r="J254" s="6"/>
      <c r="K254" s="9"/>
      <c r="L254" s="9"/>
      <c r="M254" s="9"/>
    </row>
    <row r="255" spans="1:13" ht="11.85" customHeight="1" outlineLevel="3">
      <c r="A255" s="7"/>
      <c r="B255" s="8"/>
      <c r="C255" s="6"/>
      <c r="D255" s="6" t="s">
        <v>161</v>
      </c>
      <c r="E255" s="5">
        <v>50</v>
      </c>
      <c r="F255" s="701" t="s">
        <v>623</v>
      </c>
      <c r="G255" s="701"/>
      <c r="H255" s="6"/>
      <c r="I255" s="6"/>
      <c r="J255" s="6"/>
      <c r="K255" s="9"/>
      <c r="L255" s="9"/>
      <c r="M255" s="9"/>
    </row>
    <row r="256" spans="1:13" ht="11.85" customHeight="1" outlineLevel="3">
      <c r="A256" s="7"/>
      <c r="B256" s="8"/>
      <c r="C256" s="6"/>
      <c r="D256" s="6" t="s">
        <v>229</v>
      </c>
      <c r="E256" s="5">
        <v>86</v>
      </c>
      <c r="F256" s="701" t="s">
        <v>624</v>
      </c>
      <c r="G256" s="701"/>
      <c r="H256" s="6"/>
      <c r="I256" s="6"/>
      <c r="J256" s="6"/>
      <c r="K256" s="9"/>
      <c r="L256" s="9"/>
      <c r="M256" s="9"/>
    </row>
    <row r="257" spans="1:13" ht="11.85" customHeight="1" outlineLevel="3">
      <c r="A257" s="7"/>
      <c r="B257" s="8"/>
      <c r="C257" s="6"/>
      <c r="D257" s="6" t="s">
        <v>60</v>
      </c>
      <c r="E257" s="5">
        <v>85</v>
      </c>
      <c r="F257" s="701" t="s">
        <v>625</v>
      </c>
      <c r="G257" s="701"/>
      <c r="H257" s="6"/>
      <c r="I257" s="6"/>
      <c r="J257" s="6"/>
      <c r="K257" s="9"/>
      <c r="L257" s="9"/>
      <c r="M257" s="9"/>
    </row>
    <row r="258" spans="1:13" ht="11.85" customHeight="1" outlineLevel="3">
      <c r="A258" s="7"/>
      <c r="B258" s="8"/>
      <c r="C258" s="6"/>
      <c r="D258" s="6" t="s">
        <v>230</v>
      </c>
      <c r="E258" s="5">
        <v>80</v>
      </c>
      <c r="F258" s="701" t="s">
        <v>626</v>
      </c>
      <c r="G258" s="701"/>
      <c r="H258" s="6"/>
      <c r="I258" s="6"/>
      <c r="J258" s="6"/>
      <c r="K258" s="9"/>
      <c r="L258" s="9"/>
      <c r="M258" s="9"/>
    </row>
    <row r="259" spans="1:13" ht="11.85" customHeight="1" outlineLevel="3">
      <c r="A259" s="7"/>
      <c r="B259" s="8"/>
      <c r="C259" s="6"/>
      <c r="D259" s="6" t="s">
        <v>231</v>
      </c>
      <c r="E259" s="5">
        <v>29</v>
      </c>
      <c r="F259" s="701" t="s">
        <v>627</v>
      </c>
      <c r="G259" s="701"/>
      <c r="H259" s="6"/>
      <c r="I259" s="6"/>
      <c r="J259" s="6"/>
      <c r="K259" s="9"/>
      <c r="L259" s="9"/>
      <c r="M259" s="9"/>
    </row>
    <row r="260" spans="1:13" ht="11.85" customHeight="1" outlineLevel="3">
      <c r="A260" s="7"/>
      <c r="B260" s="8"/>
      <c r="C260" s="6"/>
      <c r="D260" s="6" t="s">
        <v>224</v>
      </c>
      <c r="E260" s="5">
        <v>103</v>
      </c>
      <c r="F260" s="701" t="s">
        <v>628</v>
      </c>
      <c r="G260" s="701"/>
      <c r="H260" s="6"/>
      <c r="I260" s="6"/>
      <c r="J260" s="6"/>
      <c r="K260" s="9"/>
      <c r="L260" s="9"/>
      <c r="M260" s="9"/>
    </row>
    <row r="261" spans="1:13" ht="11.85" customHeight="1" outlineLevel="3">
      <c r="A261" s="7"/>
      <c r="B261" s="8"/>
      <c r="C261" s="6"/>
      <c r="D261" s="6" t="s">
        <v>225</v>
      </c>
      <c r="E261" s="5">
        <v>132</v>
      </c>
      <c r="F261" s="701" t="s">
        <v>629</v>
      </c>
      <c r="G261" s="701"/>
      <c r="H261" s="6"/>
      <c r="I261" s="6"/>
      <c r="J261" s="6"/>
      <c r="K261" s="9"/>
      <c r="L261" s="9"/>
      <c r="M261" s="9"/>
    </row>
    <row r="262" spans="1:13" ht="11.85" customHeight="1" outlineLevel="3">
      <c r="A262" s="7"/>
      <c r="B262" s="8"/>
      <c r="C262" s="6"/>
      <c r="D262" s="6" t="s">
        <v>223</v>
      </c>
      <c r="E262" s="5">
        <v>77</v>
      </c>
      <c r="F262" s="701" t="s">
        <v>630</v>
      </c>
      <c r="G262" s="701"/>
      <c r="H262" s="6"/>
      <c r="I262" s="6"/>
      <c r="J262" s="6"/>
      <c r="K262" s="9"/>
      <c r="L262" s="9"/>
      <c r="M262" s="9"/>
    </row>
    <row r="263" spans="1:13" ht="11.85" customHeight="1" outlineLevel="3">
      <c r="A263" s="7"/>
      <c r="B263" s="8"/>
      <c r="C263" s="6"/>
      <c r="D263" s="6" t="s">
        <v>255</v>
      </c>
      <c r="E263" s="5">
        <v>85</v>
      </c>
      <c r="F263" s="701" t="s">
        <v>631</v>
      </c>
      <c r="G263" s="701"/>
      <c r="H263" s="6"/>
      <c r="I263" s="6"/>
      <c r="J263" s="6"/>
      <c r="K263" s="9"/>
      <c r="L263" s="9"/>
      <c r="M263" s="9"/>
    </row>
    <row r="264" spans="1:13" ht="11.85" customHeight="1" outlineLevel="3">
      <c r="A264" s="7"/>
      <c r="B264" s="8"/>
      <c r="C264" s="6"/>
      <c r="D264" s="6" t="s">
        <v>256</v>
      </c>
      <c r="E264" s="5">
        <v>85</v>
      </c>
      <c r="F264" s="701" t="s">
        <v>632</v>
      </c>
      <c r="G264" s="701"/>
      <c r="H264" s="6"/>
      <c r="I264" s="6"/>
      <c r="J264" s="6"/>
      <c r="K264" s="9"/>
      <c r="L264" s="9"/>
      <c r="M264" s="9"/>
    </row>
    <row r="265" spans="1:13" ht="11.85" customHeight="1" outlineLevel="3">
      <c r="A265" s="7"/>
      <c r="B265" s="8"/>
      <c r="C265" s="6"/>
      <c r="D265" s="6" t="s">
        <v>104</v>
      </c>
      <c r="E265" s="5">
        <v>85</v>
      </c>
      <c r="F265" s="701" t="s">
        <v>633</v>
      </c>
      <c r="G265" s="701"/>
      <c r="H265" s="6"/>
      <c r="I265" s="6"/>
      <c r="J265" s="6"/>
      <c r="K265" s="9"/>
      <c r="L265" s="9"/>
      <c r="M265" s="9"/>
    </row>
    <row r="266" spans="1:13" ht="11.85" customHeight="1" outlineLevel="3">
      <c r="A266" s="7"/>
      <c r="B266" s="8"/>
      <c r="C266" s="6"/>
      <c r="D266" s="6" t="s">
        <v>257</v>
      </c>
      <c r="E266" s="5">
        <v>71</v>
      </c>
      <c r="F266" s="701" t="s">
        <v>634</v>
      </c>
      <c r="G266" s="701"/>
      <c r="H266" s="6"/>
      <c r="I266" s="6"/>
      <c r="J266" s="6"/>
      <c r="K266" s="9"/>
      <c r="L266" s="9"/>
      <c r="M266" s="9"/>
    </row>
    <row r="267" spans="1:13" ht="11.85" customHeight="1" outlineLevel="3">
      <c r="A267" s="7"/>
      <c r="B267" s="8"/>
      <c r="C267" s="6"/>
      <c r="D267" s="6" t="s">
        <v>115</v>
      </c>
      <c r="E267" s="5">
        <v>5</v>
      </c>
      <c r="F267" s="701" t="s">
        <v>635</v>
      </c>
      <c r="G267" s="701"/>
      <c r="H267" s="6"/>
      <c r="I267" s="6"/>
      <c r="J267" s="6"/>
      <c r="K267" s="9"/>
      <c r="L267" s="9"/>
      <c r="M267" s="9"/>
    </row>
    <row r="268" spans="1:13" ht="11.85" customHeight="1" outlineLevel="3">
      <c r="A268" s="7"/>
      <c r="B268" s="8"/>
      <c r="C268" s="6"/>
      <c r="D268" s="6" t="s">
        <v>281</v>
      </c>
      <c r="E268" s="5">
        <v>16</v>
      </c>
      <c r="F268" s="701" t="s">
        <v>636</v>
      </c>
      <c r="G268" s="701"/>
      <c r="H268" s="6"/>
      <c r="I268" s="6"/>
      <c r="J268" s="6"/>
      <c r="K268" s="9"/>
      <c r="L268" s="9"/>
      <c r="M268" s="9"/>
    </row>
    <row r="269" spans="1:13" ht="11.85" customHeight="1" outlineLevel="3">
      <c r="A269" s="7"/>
      <c r="B269" s="8"/>
      <c r="C269" s="6"/>
      <c r="D269" s="6" t="s">
        <v>282</v>
      </c>
      <c r="E269" s="5">
        <v>16</v>
      </c>
      <c r="F269" s="701" t="s">
        <v>637</v>
      </c>
      <c r="G269" s="701"/>
      <c r="H269" s="6"/>
      <c r="I269" s="6"/>
      <c r="J269" s="6"/>
      <c r="K269" s="9"/>
      <c r="L269" s="9"/>
      <c r="M269" s="9"/>
    </row>
    <row r="270" spans="1:13" ht="11.85" customHeight="1" outlineLevel="3">
      <c r="A270" s="7"/>
      <c r="B270" s="8"/>
      <c r="C270" s="6"/>
      <c r="D270" s="6" t="s">
        <v>218</v>
      </c>
      <c r="E270" s="6" t="s">
        <v>638</v>
      </c>
      <c r="F270" s="701" t="s">
        <v>639</v>
      </c>
      <c r="G270" s="701"/>
      <c r="H270" s="6"/>
      <c r="I270" s="6"/>
      <c r="J270" s="6"/>
      <c r="K270" s="9"/>
      <c r="L270" s="9"/>
      <c r="M270" s="10">
        <v>15</v>
      </c>
    </row>
    <row r="271" spans="1:13" ht="11.85" customHeight="1" outlineLevel="3">
      <c r="A271" s="7"/>
      <c r="B271" s="8"/>
      <c r="C271" s="6"/>
      <c r="D271" s="6" t="s">
        <v>219</v>
      </c>
      <c r="E271" s="6" t="s">
        <v>640</v>
      </c>
      <c r="F271" s="701" t="s">
        <v>641</v>
      </c>
      <c r="G271" s="701"/>
      <c r="H271" s="6"/>
      <c r="I271" s="6"/>
      <c r="J271" s="6"/>
      <c r="K271" s="9"/>
      <c r="L271" s="9"/>
      <c r="M271" s="10">
        <v>4</v>
      </c>
    </row>
    <row r="272" spans="1:13" ht="21.6" customHeight="1" outlineLevel="3">
      <c r="A272" s="7"/>
      <c r="B272" s="8"/>
      <c r="C272" s="6"/>
      <c r="D272" s="6" t="s">
        <v>220</v>
      </c>
      <c r="E272" s="6" t="s">
        <v>642</v>
      </c>
      <c r="F272" s="701" t="s">
        <v>643</v>
      </c>
      <c r="G272" s="701"/>
      <c r="H272" s="6"/>
      <c r="I272" s="6"/>
      <c r="J272" s="6"/>
      <c r="K272" s="9"/>
      <c r="L272" s="9"/>
      <c r="M272" s="10">
        <v>7</v>
      </c>
    </row>
    <row r="273" spans="1:13" ht="11.85" customHeight="1" outlineLevel="3">
      <c r="A273" s="7"/>
      <c r="B273" s="8"/>
      <c r="C273" s="6"/>
      <c r="D273" s="6" t="s">
        <v>217</v>
      </c>
      <c r="E273" s="5">
        <v>126</v>
      </c>
      <c r="F273" s="701" t="s">
        <v>644</v>
      </c>
      <c r="G273" s="701"/>
      <c r="H273" s="6"/>
      <c r="I273" s="6"/>
      <c r="J273" s="6"/>
      <c r="K273" s="9"/>
      <c r="L273" s="9"/>
      <c r="M273" s="10">
        <v>187</v>
      </c>
    </row>
    <row r="274" spans="1:13" ht="11.85" customHeight="1" outlineLevel="3">
      <c r="A274" s="7"/>
      <c r="B274" s="8"/>
      <c r="C274" s="6"/>
      <c r="D274" s="6" t="s">
        <v>284</v>
      </c>
      <c r="E274" s="5">
        <v>48</v>
      </c>
      <c r="F274" s="701" t="s">
        <v>645</v>
      </c>
      <c r="G274" s="701"/>
      <c r="H274" s="6"/>
      <c r="I274" s="6"/>
      <c r="J274" s="6"/>
      <c r="K274" s="9"/>
      <c r="L274" s="9"/>
      <c r="M274" s="10">
        <v>23</v>
      </c>
    </row>
    <row r="275" spans="1:13" ht="11.85" customHeight="1" outlineLevel="3">
      <c r="A275" s="7"/>
      <c r="B275" s="8"/>
      <c r="C275" s="6"/>
      <c r="D275" s="6" t="s">
        <v>283</v>
      </c>
      <c r="E275" s="5">
        <v>48</v>
      </c>
      <c r="F275" s="701" t="s">
        <v>646</v>
      </c>
      <c r="G275" s="701"/>
      <c r="H275" s="6"/>
      <c r="I275" s="6"/>
      <c r="J275" s="6"/>
      <c r="K275" s="9"/>
      <c r="L275" s="9"/>
      <c r="M275" s="10">
        <v>69</v>
      </c>
    </row>
    <row r="276" spans="1:13" ht="11.85" customHeight="1" outlineLevel="2">
      <c r="A276" s="700" t="s">
        <v>431</v>
      </c>
      <c r="B276" s="700"/>
      <c r="C276" s="700"/>
      <c r="D276" s="700"/>
      <c r="E276" s="700"/>
      <c r="F276" s="700"/>
      <c r="G276" s="700"/>
      <c r="H276" s="700"/>
      <c r="I276" s="700"/>
      <c r="J276" s="700"/>
      <c r="K276" s="700"/>
      <c r="L276" s="700"/>
      <c r="M276" s="700"/>
    </row>
    <row r="277" spans="1:13" ht="11.85" customHeight="1" outlineLevel="3">
      <c r="A277" s="7"/>
      <c r="B277" s="8"/>
      <c r="C277" s="6"/>
      <c r="D277" s="6" t="s">
        <v>240</v>
      </c>
      <c r="E277" s="5">
        <v>96</v>
      </c>
      <c r="F277" s="701" t="s">
        <v>647</v>
      </c>
      <c r="G277" s="701"/>
      <c r="H277" s="6"/>
      <c r="I277" s="6"/>
      <c r="J277" s="6"/>
      <c r="K277" s="9"/>
      <c r="L277" s="9"/>
      <c r="M277" s="9"/>
    </row>
    <row r="278" spans="1:13" ht="11.85" customHeight="1" outlineLevel="3">
      <c r="A278" s="7"/>
      <c r="B278" s="8"/>
      <c r="C278" s="6"/>
      <c r="D278" s="6" t="s">
        <v>241</v>
      </c>
      <c r="E278" s="5">
        <v>98</v>
      </c>
      <c r="F278" s="701" t="s">
        <v>648</v>
      </c>
      <c r="G278" s="701"/>
      <c r="H278" s="6"/>
      <c r="I278" s="6"/>
      <c r="J278" s="6"/>
      <c r="K278" s="9"/>
      <c r="L278" s="9"/>
      <c r="M278" s="9"/>
    </row>
    <row r="279" spans="1:13" ht="11.85" customHeight="1" outlineLevel="3">
      <c r="A279" s="7"/>
      <c r="B279" s="8"/>
      <c r="C279" s="6"/>
      <c r="D279" s="6" t="s">
        <v>242</v>
      </c>
      <c r="E279" s="5">
        <v>104</v>
      </c>
      <c r="F279" s="701" t="s">
        <v>649</v>
      </c>
      <c r="G279" s="701"/>
      <c r="H279" s="6"/>
      <c r="I279" s="6"/>
      <c r="J279" s="6"/>
      <c r="K279" s="9"/>
      <c r="L279" s="9"/>
      <c r="M279" s="10">
        <v>84</v>
      </c>
    </row>
    <row r="280" spans="1:13" ht="11.85" customHeight="1" outlineLevel="3">
      <c r="A280" s="7"/>
      <c r="B280" s="8"/>
      <c r="C280" s="6"/>
      <c r="D280" s="6" t="s">
        <v>100</v>
      </c>
      <c r="E280" s="5">
        <v>35</v>
      </c>
      <c r="F280" s="701" t="s">
        <v>650</v>
      </c>
      <c r="G280" s="701"/>
      <c r="H280" s="6"/>
      <c r="I280" s="6"/>
      <c r="J280" s="6"/>
      <c r="K280" s="9"/>
      <c r="L280" s="9"/>
      <c r="M280" s="10">
        <v>99</v>
      </c>
    </row>
    <row r="281" spans="1:13" ht="11.85" customHeight="1" outlineLevel="3">
      <c r="A281" s="7"/>
      <c r="B281" s="8"/>
      <c r="C281" s="6"/>
      <c r="D281" s="6" t="s">
        <v>236</v>
      </c>
      <c r="E281" s="5">
        <v>21</v>
      </c>
      <c r="F281" s="701" t="s">
        <v>651</v>
      </c>
      <c r="G281" s="701"/>
      <c r="H281" s="6"/>
      <c r="I281" s="6"/>
      <c r="J281" s="6"/>
      <c r="K281" s="9"/>
      <c r="L281" s="9"/>
      <c r="M281" s="10">
        <v>229</v>
      </c>
    </row>
    <row r="282" spans="1:13" ht="11.85" customHeight="1" outlineLevel="3">
      <c r="A282" s="7"/>
      <c r="B282" s="8"/>
      <c r="C282" s="6"/>
      <c r="D282" s="6" t="s">
        <v>235</v>
      </c>
      <c r="E282" s="5">
        <v>21</v>
      </c>
      <c r="F282" s="701" t="s">
        <v>652</v>
      </c>
      <c r="G282" s="701"/>
      <c r="H282" s="6"/>
      <c r="I282" s="6"/>
      <c r="J282" s="6"/>
      <c r="K282" s="9"/>
      <c r="L282" s="9"/>
      <c r="M282" s="10">
        <v>445</v>
      </c>
    </row>
    <row r="283" spans="1:13" ht="11.85" customHeight="1" outlineLevel="3">
      <c r="A283" s="7"/>
      <c r="B283" s="8"/>
      <c r="C283" s="6"/>
      <c r="D283" s="6" t="s">
        <v>238</v>
      </c>
      <c r="E283" s="5">
        <v>87</v>
      </c>
      <c r="F283" s="701" t="s">
        <v>653</v>
      </c>
      <c r="G283" s="701"/>
      <c r="H283" s="6"/>
      <c r="I283" s="6"/>
      <c r="J283" s="6"/>
      <c r="K283" s="9"/>
      <c r="L283" s="9"/>
      <c r="M283" s="10">
        <v>679</v>
      </c>
    </row>
    <row r="284" spans="1:13" ht="11.85" customHeight="1" outlineLevel="3">
      <c r="A284" s="7"/>
      <c r="B284" s="8"/>
      <c r="C284" s="6"/>
      <c r="D284" s="6" t="s">
        <v>237</v>
      </c>
      <c r="E284" s="5">
        <v>129</v>
      </c>
      <c r="F284" s="701" t="s">
        <v>654</v>
      </c>
      <c r="G284" s="701"/>
      <c r="H284" s="6"/>
      <c r="I284" s="6"/>
      <c r="J284" s="6"/>
      <c r="K284" s="9"/>
      <c r="L284" s="9"/>
      <c r="M284" s="10">
        <v>575</v>
      </c>
    </row>
    <row r="285" spans="1:13" ht="11.85" customHeight="1" outlineLevel="3">
      <c r="A285" s="7"/>
      <c r="B285" s="8"/>
      <c r="C285" s="6"/>
      <c r="D285" s="6" t="s">
        <v>234</v>
      </c>
      <c r="E285" s="5">
        <v>7</v>
      </c>
      <c r="F285" s="701" t="s">
        <v>655</v>
      </c>
      <c r="G285" s="701"/>
      <c r="H285" s="6"/>
      <c r="I285" s="6"/>
      <c r="J285" s="6"/>
      <c r="K285" s="9"/>
      <c r="L285" s="9"/>
      <c r="M285" s="10">
        <v>236</v>
      </c>
    </row>
    <row r="286" spans="1:13" ht="11.85" customHeight="1" outlineLevel="3">
      <c r="A286" s="7"/>
      <c r="B286" s="8"/>
      <c r="C286" s="6"/>
      <c r="D286" s="6" t="s">
        <v>116</v>
      </c>
      <c r="E286" s="5">
        <v>17</v>
      </c>
      <c r="F286" s="701" t="s">
        <v>656</v>
      </c>
      <c r="G286" s="701"/>
      <c r="H286" s="6"/>
      <c r="I286" s="6"/>
      <c r="J286" s="6"/>
      <c r="K286" s="9"/>
      <c r="L286" s="9"/>
      <c r="M286" s="10">
        <v>21</v>
      </c>
    </row>
    <row r="287" spans="1:13" ht="11.85" customHeight="1" outlineLevel="3">
      <c r="A287" s="7"/>
      <c r="B287" s="8"/>
      <c r="C287" s="6"/>
      <c r="D287" s="6" t="s">
        <v>227</v>
      </c>
      <c r="E287" s="5">
        <v>28</v>
      </c>
      <c r="F287" s="701" t="s">
        <v>657</v>
      </c>
      <c r="G287" s="701"/>
      <c r="H287" s="6"/>
      <c r="I287" s="6"/>
      <c r="J287" s="6"/>
      <c r="K287" s="9"/>
      <c r="L287" s="9"/>
      <c r="M287" s="10">
        <v>84</v>
      </c>
    </row>
    <row r="288" spans="1:13" ht="11.85" customHeight="1" outlineLevel="3">
      <c r="A288" s="7"/>
      <c r="B288" s="8"/>
      <c r="C288" s="6"/>
      <c r="D288" s="6" t="s">
        <v>251</v>
      </c>
      <c r="E288" s="5">
        <v>58</v>
      </c>
      <c r="F288" s="701" t="s">
        <v>658</v>
      </c>
      <c r="G288" s="701"/>
      <c r="H288" s="6"/>
      <c r="I288" s="6"/>
      <c r="J288" s="6"/>
      <c r="K288" s="9"/>
      <c r="L288" s="9"/>
      <c r="M288" s="10">
        <v>42</v>
      </c>
    </row>
    <row r="289" spans="1:13" ht="11.85" customHeight="1" outlineLevel="3">
      <c r="A289" s="7"/>
      <c r="B289" s="8"/>
      <c r="C289" s="6"/>
      <c r="D289" s="6" t="s">
        <v>252</v>
      </c>
      <c r="E289" s="5">
        <v>58</v>
      </c>
      <c r="F289" s="701" t="s">
        <v>659</v>
      </c>
      <c r="G289" s="701"/>
      <c r="H289" s="6"/>
      <c r="I289" s="6"/>
      <c r="J289" s="6"/>
      <c r="K289" s="9"/>
      <c r="L289" s="9"/>
      <c r="M289" s="10">
        <v>94</v>
      </c>
    </row>
    <row r="290" spans="1:13" ht="11.85" customHeight="1" outlineLevel="3">
      <c r="A290" s="7"/>
      <c r="B290" s="8"/>
      <c r="C290" s="6"/>
      <c r="D290" s="6" t="s">
        <v>250</v>
      </c>
      <c r="E290" s="5">
        <v>13</v>
      </c>
      <c r="F290" s="701" t="s">
        <v>660</v>
      </c>
      <c r="G290" s="701"/>
      <c r="H290" s="6"/>
      <c r="I290" s="6"/>
      <c r="J290" s="6"/>
      <c r="K290" s="9"/>
      <c r="L290" s="9"/>
      <c r="M290" s="10">
        <v>73</v>
      </c>
    </row>
    <row r="291" spans="1:13" ht="11.85" customHeight="1" outlineLevel="3">
      <c r="A291" s="7"/>
      <c r="B291" s="8"/>
      <c r="C291" s="6"/>
      <c r="D291" s="6" t="s">
        <v>249</v>
      </c>
      <c r="E291" s="5">
        <v>134</v>
      </c>
      <c r="F291" s="701" t="s">
        <v>661</v>
      </c>
      <c r="G291" s="701"/>
      <c r="H291" s="6"/>
      <c r="I291" s="6"/>
      <c r="J291" s="6"/>
      <c r="K291" s="9"/>
      <c r="L291" s="9"/>
      <c r="M291" s="10">
        <v>113</v>
      </c>
    </row>
    <row r="292" spans="1:13" ht="11.85" customHeight="1" outlineLevel="3">
      <c r="A292" s="7"/>
      <c r="B292" s="8"/>
      <c r="C292" s="6"/>
      <c r="D292" s="6" t="s">
        <v>253</v>
      </c>
      <c r="E292" s="5">
        <v>90</v>
      </c>
      <c r="F292" s="701" t="s">
        <v>662</v>
      </c>
      <c r="G292" s="701"/>
      <c r="H292" s="6"/>
      <c r="I292" s="6"/>
      <c r="J292" s="6"/>
      <c r="K292" s="9"/>
      <c r="L292" s="9"/>
      <c r="M292" s="9"/>
    </row>
    <row r="293" spans="1:13" ht="11.85" customHeight="1" outlineLevel="3">
      <c r="A293" s="7"/>
      <c r="B293" s="8"/>
      <c r="C293" s="6"/>
      <c r="D293" s="6" t="s">
        <v>258</v>
      </c>
      <c r="E293" s="5">
        <v>110</v>
      </c>
      <c r="F293" s="701" t="s">
        <v>663</v>
      </c>
      <c r="G293" s="701"/>
      <c r="H293" s="6"/>
      <c r="I293" s="6"/>
      <c r="J293" s="6"/>
      <c r="K293" s="9"/>
      <c r="L293" s="9"/>
      <c r="M293" s="10">
        <v>156</v>
      </c>
    </row>
    <row r="294" spans="1:13" ht="11.85" customHeight="1" outlineLevel="3">
      <c r="A294" s="7"/>
      <c r="B294" s="8"/>
      <c r="C294" s="6"/>
      <c r="D294" s="6" t="s">
        <v>241</v>
      </c>
      <c r="E294" s="5">
        <v>98</v>
      </c>
      <c r="F294" s="701" t="s">
        <v>664</v>
      </c>
      <c r="G294" s="701"/>
      <c r="H294" s="6"/>
      <c r="I294" s="6"/>
      <c r="J294" s="6"/>
      <c r="K294" s="9"/>
      <c r="L294" s="9"/>
      <c r="M294" s="10">
        <v>54</v>
      </c>
    </row>
    <row r="295" spans="1:13" ht="11.85" customHeight="1" outlineLevel="3">
      <c r="A295" s="7"/>
      <c r="B295" s="8"/>
      <c r="C295" s="6"/>
      <c r="D295" s="6" t="s">
        <v>259</v>
      </c>
      <c r="E295" s="5">
        <v>128</v>
      </c>
      <c r="F295" s="701" t="s">
        <v>665</v>
      </c>
      <c r="G295" s="701"/>
      <c r="H295" s="6"/>
      <c r="I295" s="6"/>
      <c r="J295" s="6"/>
      <c r="K295" s="9"/>
      <c r="L295" s="9"/>
      <c r="M295" s="10">
        <v>120</v>
      </c>
    </row>
    <row r="296" spans="1:13" ht="11.85" customHeight="1" outlineLevel="3">
      <c r="A296" s="7"/>
      <c r="B296" s="8"/>
      <c r="C296" s="6"/>
      <c r="D296" s="6" t="s">
        <v>222</v>
      </c>
      <c r="E296" s="5">
        <v>9</v>
      </c>
      <c r="F296" s="701" t="s">
        <v>666</v>
      </c>
      <c r="G296" s="701"/>
      <c r="H296" s="6"/>
      <c r="I296" s="6"/>
      <c r="J296" s="6"/>
      <c r="K296" s="9"/>
      <c r="L296" s="9"/>
      <c r="M296" s="10">
        <v>101</v>
      </c>
    </row>
    <row r="297" spans="1:13" ht="11.85" customHeight="1" outlineLevel="3">
      <c r="A297" s="7"/>
      <c r="B297" s="8"/>
      <c r="C297" s="6"/>
      <c r="D297" s="6" t="s">
        <v>226</v>
      </c>
      <c r="E297" s="5">
        <v>53</v>
      </c>
      <c r="F297" s="701" t="s">
        <v>667</v>
      </c>
      <c r="G297" s="701"/>
      <c r="H297" s="6"/>
      <c r="I297" s="6"/>
      <c r="J297" s="6"/>
      <c r="K297" s="9"/>
      <c r="L297" s="9"/>
      <c r="M297" s="10">
        <v>117</v>
      </c>
    </row>
    <row r="298" spans="1:13" ht="11.85" customHeight="1" outlineLevel="3">
      <c r="A298" s="7"/>
      <c r="B298" s="8"/>
      <c r="C298" s="6"/>
      <c r="D298" s="6" t="s">
        <v>239</v>
      </c>
      <c r="E298" s="5">
        <v>118</v>
      </c>
      <c r="F298" s="701" t="s">
        <v>668</v>
      </c>
      <c r="G298" s="701"/>
      <c r="H298" s="6"/>
      <c r="I298" s="6"/>
      <c r="J298" s="6"/>
      <c r="K298" s="9"/>
      <c r="L298" s="9"/>
      <c r="M298" s="9"/>
    </row>
    <row r="299" spans="1:13" ht="11.85" customHeight="1" outlineLevel="3">
      <c r="A299" s="7"/>
      <c r="B299" s="8"/>
      <c r="C299" s="6"/>
      <c r="D299" s="6" t="s">
        <v>247</v>
      </c>
      <c r="E299" s="5">
        <v>106</v>
      </c>
      <c r="F299" s="701" t="s">
        <v>669</v>
      </c>
      <c r="G299" s="701"/>
      <c r="H299" s="6"/>
      <c r="I299" s="6"/>
      <c r="J299" s="6"/>
      <c r="K299" s="9"/>
      <c r="L299" s="9"/>
      <c r="M299" s="9"/>
    </row>
    <row r="300" spans="1:13" ht="11.85" customHeight="1" outlineLevel="3">
      <c r="A300" s="7"/>
      <c r="B300" s="8"/>
      <c r="C300" s="6"/>
      <c r="D300" s="6" t="s">
        <v>670</v>
      </c>
      <c r="E300" s="5">
        <v>51</v>
      </c>
      <c r="F300" s="701" t="s">
        <v>671</v>
      </c>
      <c r="G300" s="701"/>
      <c r="H300" s="6"/>
      <c r="I300" s="6"/>
      <c r="J300" s="6"/>
      <c r="K300" s="9"/>
      <c r="L300" s="9"/>
      <c r="M300" s="9"/>
    </row>
    <row r="301" spans="1:13" ht="11.85" customHeight="1" outlineLevel="3">
      <c r="A301" s="7"/>
      <c r="B301" s="8"/>
      <c r="C301" s="6"/>
      <c r="D301" s="6" t="s">
        <v>266</v>
      </c>
      <c r="E301" s="5">
        <v>116</v>
      </c>
      <c r="F301" s="701" t="s">
        <v>672</v>
      </c>
      <c r="G301" s="701"/>
      <c r="H301" s="6"/>
      <c r="I301" s="6"/>
      <c r="J301" s="6"/>
      <c r="K301" s="9"/>
      <c r="L301" s="9"/>
      <c r="M301" s="10">
        <v>134</v>
      </c>
    </row>
    <row r="302" spans="1:13" ht="11.85" customHeight="1" outlineLevel="3">
      <c r="A302" s="7"/>
      <c r="B302" s="8"/>
      <c r="C302" s="6"/>
      <c r="D302" s="6" t="s">
        <v>267</v>
      </c>
      <c r="E302" s="5">
        <v>85</v>
      </c>
      <c r="F302" s="701" t="s">
        <v>673</v>
      </c>
      <c r="G302" s="701"/>
      <c r="H302" s="6"/>
      <c r="I302" s="6"/>
      <c r="J302" s="6"/>
      <c r="K302" s="9"/>
      <c r="L302" s="9"/>
      <c r="M302" s="10">
        <v>89</v>
      </c>
    </row>
    <row r="303" spans="1:13" ht="11.85" customHeight="1" outlineLevel="3">
      <c r="A303" s="7"/>
      <c r="B303" s="8"/>
      <c r="C303" s="6"/>
      <c r="D303" s="6" t="s">
        <v>179</v>
      </c>
      <c r="E303" s="5">
        <v>58</v>
      </c>
      <c r="F303" s="701" t="s">
        <v>674</v>
      </c>
      <c r="G303" s="701"/>
      <c r="H303" s="6"/>
      <c r="I303" s="6"/>
      <c r="J303" s="6"/>
      <c r="K303" s="9"/>
      <c r="L303" s="9"/>
      <c r="M303" s="10">
        <v>157</v>
      </c>
    </row>
    <row r="304" spans="1:13" ht="11.85" customHeight="1" outlineLevel="3">
      <c r="A304" s="7"/>
      <c r="B304" s="8"/>
      <c r="C304" s="6"/>
      <c r="D304" s="6" t="s">
        <v>268</v>
      </c>
      <c r="E304" s="5">
        <v>66</v>
      </c>
      <c r="F304" s="701" t="s">
        <v>675</v>
      </c>
      <c r="G304" s="701"/>
      <c r="H304" s="6"/>
      <c r="I304" s="6"/>
      <c r="J304" s="6"/>
      <c r="K304" s="9"/>
      <c r="L304" s="9"/>
      <c r="M304" s="10">
        <v>108</v>
      </c>
    </row>
    <row r="305" spans="1:13" ht="11.85" customHeight="1" outlineLevel="3">
      <c r="A305" s="7"/>
      <c r="B305" s="8"/>
      <c r="C305" s="6"/>
      <c r="D305" s="6" t="s">
        <v>269</v>
      </c>
      <c r="E305" s="5">
        <v>128</v>
      </c>
      <c r="F305" s="701" t="s">
        <v>676</v>
      </c>
      <c r="G305" s="701"/>
      <c r="H305" s="6"/>
      <c r="I305" s="6"/>
      <c r="J305" s="6"/>
      <c r="K305" s="9"/>
      <c r="L305" s="9"/>
      <c r="M305" s="10">
        <v>72</v>
      </c>
    </row>
    <row r="306" spans="1:13" ht="11.85" customHeight="1" outlineLevel="3">
      <c r="A306" s="7"/>
      <c r="B306" s="8"/>
      <c r="C306" s="6"/>
      <c r="D306" s="6" t="s">
        <v>270</v>
      </c>
      <c r="E306" s="5">
        <v>94</v>
      </c>
      <c r="F306" s="701" t="s">
        <v>677</v>
      </c>
      <c r="G306" s="701"/>
      <c r="H306" s="6"/>
      <c r="I306" s="6"/>
      <c r="J306" s="6"/>
      <c r="K306" s="9"/>
      <c r="L306" s="9"/>
      <c r="M306" s="10">
        <v>67</v>
      </c>
    </row>
    <row r="307" spans="1:13" ht="11.85" customHeight="1" outlineLevel="3">
      <c r="A307" s="7"/>
      <c r="B307" s="8"/>
      <c r="C307" s="6"/>
      <c r="D307" s="6" t="s">
        <v>291</v>
      </c>
      <c r="E307" s="5">
        <v>89</v>
      </c>
      <c r="F307" s="701" t="s">
        <v>678</v>
      </c>
      <c r="G307" s="701"/>
      <c r="H307" s="6"/>
      <c r="I307" s="6"/>
      <c r="J307" s="6"/>
      <c r="K307" s="9"/>
      <c r="L307" s="9"/>
      <c r="M307" s="10">
        <v>102</v>
      </c>
    </row>
    <row r="308" spans="1:13" ht="11.85" customHeight="1" outlineLevel="3">
      <c r="A308" s="7"/>
      <c r="B308" s="8"/>
      <c r="C308" s="6"/>
      <c r="D308" s="6" t="s">
        <v>289</v>
      </c>
      <c r="E308" s="5">
        <v>86</v>
      </c>
      <c r="F308" s="701" t="s">
        <v>679</v>
      </c>
      <c r="G308" s="701"/>
      <c r="H308" s="6"/>
      <c r="I308" s="6"/>
      <c r="J308" s="6"/>
      <c r="K308" s="9"/>
      <c r="L308" s="9"/>
      <c r="M308" s="10">
        <v>260</v>
      </c>
    </row>
    <row r="309" spans="1:13" ht="11.85" customHeight="1" outlineLevel="3">
      <c r="A309" s="7"/>
      <c r="B309" s="8"/>
      <c r="C309" s="6"/>
      <c r="D309" s="6" t="s">
        <v>290</v>
      </c>
      <c r="E309" s="5">
        <v>89</v>
      </c>
      <c r="F309" s="701" t="s">
        <v>680</v>
      </c>
      <c r="G309" s="701"/>
      <c r="H309" s="6"/>
      <c r="I309" s="6"/>
      <c r="J309" s="6"/>
      <c r="K309" s="9"/>
      <c r="L309" s="9"/>
      <c r="M309" s="10">
        <v>178</v>
      </c>
    </row>
    <row r="310" spans="1:13" ht="11.85" customHeight="1" outlineLevel="3">
      <c r="A310" s="7"/>
      <c r="B310" s="8"/>
      <c r="C310" s="6"/>
      <c r="D310" s="6" t="s">
        <v>271</v>
      </c>
      <c r="E310" s="5">
        <v>133</v>
      </c>
      <c r="F310" s="701" t="s">
        <v>681</v>
      </c>
      <c r="G310" s="701"/>
      <c r="H310" s="6"/>
      <c r="I310" s="6"/>
      <c r="J310" s="6"/>
      <c r="K310" s="9"/>
      <c r="L310" s="9"/>
      <c r="M310" s="10">
        <v>109</v>
      </c>
    </row>
    <row r="311" spans="1:13" ht="11.85" customHeight="1" outlineLevel="3">
      <c r="A311" s="7"/>
      <c r="B311" s="8"/>
      <c r="C311" s="6"/>
      <c r="D311" s="6" t="s">
        <v>82</v>
      </c>
      <c r="E311" s="5">
        <v>5</v>
      </c>
      <c r="F311" s="701" t="s">
        <v>682</v>
      </c>
      <c r="G311" s="701"/>
      <c r="H311" s="6"/>
      <c r="I311" s="6"/>
      <c r="J311" s="6"/>
      <c r="K311" s="9"/>
      <c r="L311" s="9"/>
      <c r="M311" s="10">
        <v>102</v>
      </c>
    </row>
    <row r="312" spans="1:13" ht="11.85" customHeight="1" outlineLevel="3">
      <c r="A312" s="7"/>
      <c r="B312" s="8"/>
      <c r="C312" s="6"/>
      <c r="D312" s="6" t="s">
        <v>272</v>
      </c>
      <c r="E312" s="5">
        <v>25</v>
      </c>
      <c r="F312" s="701" t="s">
        <v>683</v>
      </c>
      <c r="G312" s="701"/>
      <c r="H312" s="6"/>
      <c r="I312" s="6"/>
      <c r="J312" s="6"/>
      <c r="K312" s="9"/>
      <c r="L312" s="9"/>
      <c r="M312" s="10">
        <v>22</v>
      </c>
    </row>
    <row r="313" spans="1:13" ht="11.85" customHeight="1" outlineLevel="3">
      <c r="A313" s="7"/>
      <c r="B313" s="8"/>
      <c r="C313" s="6"/>
      <c r="D313" s="6" t="s">
        <v>274</v>
      </c>
      <c r="E313" s="5">
        <v>54</v>
      </c>
      <c r="F313" s="701" t="s">
        <v>684</v>
      </c>
      <c r="G313" s="701"/>
      <c r="H313" s="6"/>
      <c r="I313" s="6"/>
      <c r="J313" s="6"/>
      <c r="K313" s="9"/>
      <c r="L313" s="9"/>
      <c r="M313" s="9"/>
    </row>
    <row r="314" spans="1:13" ht="11.85" customHeight="1" outlineLevel="3">
      <c r="A314" s="7"/>
      <c r="B314" s="8"/>
      <c r="C314" s="6"/>
      <c r="D314" s="6" t="s">
        <v>275</v>
      </c>
      <c r="E314" s="5">
        <v>54</v>
      </c>
      <c r="F314" s="701" t="s">
        <v>685</v>
      </c>
      <c r="G314" s="701"/>
      <c r="H314" s="6"/>
      <c r="I314" s="6"/>
      <c r="J314" s="6"/>
      <c r="K314" s="9"/>
      <c r="L314" s="9"/>
      <c r="M314" s="9"/>
    </row>
    <row r="315" spans="1:13" ht="11.85" customHeight="1" outlineLevel="3">
      <c r="A315" s="7"/>
      <c r="B315" s="8"/>
      <c r="C315" s="6"/>
      <c r="D315" s="6" t="s">
        <v>273</v>
      </c>
      <c r="E315" s="5">
        <v>80</v>
      </c>
      <c r="F315" s="701" t="s">
        <v>686</v>
      </c>
      <c r="G315" s="701"/>
      <c r="H315" s="6"/>
      <c r="I315" s="6"/>
      <c r="J315" s="6"/>
      <c r="K315" s="9"/>
      <c r="L315" s="9"/>
      <c r="M315" s="9"/>
    </row>
    <row r="316" spans="1:13" ht="11.85" customHeight="1" outlineLevel="3">
      <c r="A316" s="7"/>
      <c r="B316" s="8"/>
      <c r="C316" s="6"/>
      <c r="D316" s="6" t="s">
        <v>277</v>
      </c>
      <c r="E316" s="5">
        <v>116</v>
      </c>
      <c r="F316" s="701" t="s">
        <v>687</v>
      </c>
      <c r="G316" s="701"/>
      <c r="H316" s="6"/>
      <c r="I316" s="6"/>
      <c r="J316" s="6"/>
      <c r="K316" s="9"/>
      <c r="L316" s="9"/>
      <c r="M316" s="10">
        <v>156</v>
      </c>
    </row>
    <row r="317" spans="1:13" ht="11.85" customHeight="1" outlineLevel="3">
      <c r="A317" s="7"/>
      <c r="B317" s="8"/>
      <c r="C317" s="6"/>
      <c r="D317" s="6" t="s">
        <v>278</v>
      </c>
      <c r="E317" s="5">
        <v>28</v>
      </c>
      <c r="F317" s="701" t="s">
        <v>688</v>
      </c>
      <c r="G317" s="701"/>
      <c r="H317" s="6"/>
      <c r="I317" s="6"/>
      <c r="J317" s="6"/>
      <c r="K317" s="9"/>
      <c r="L317" s="9"/>
      <c r="M317" s="10">
        <v>66</v>
      </c>
    </row>
    <row r="318" spans="1:13" ht="11.85" customHeight="1" outlineLevel="3">
      <c r="A318" s="7"/>
      <c r="B318" s="8"/>
      <c r="C318" s="6"/>
      <c r="D318" s="6" t="s">
        <v>274</v>
      </c>
      <c r="E318" s="5">
        <v>54</v>
      </c>
      <c r="F318" s="701" t="s">
        <v>689</v>
      </c>
      <c r="G318" s="701"/>
      <c r="H318" s="6"/>
      <c r="I318" s="6"/>
      <c r="J318" s="6"/>
      <c r="K318" s="9"/>
      <c r="L318" s="9"/>
      <c r="M318" s="9"/>
    </row>
    <row r="319" spans="1:13" ht="11.85" customHeight="1" outlineLevel="3">
      <c r="A319" s="7"/>
      <c r="B319" s="8"/>
      <c r="C319" s="6"/>
      <c r="D319" s="6" t="s">
        <v>275</v>
      </c>
      <c r="E319" s="5">
        <v>54</v>
      </c>
      <c r="F319" s="701" t="s">
        <v>690</v>
      </c>
      <c r="G319" s="701"/>
      <c r="H319" s="6"/>
      <c r="I319" s="6"/>
      <c r="J319" s="6"/>
      <c r="K319" s="9"/>
      <c r="L319" s="9"/>
      <c r="M319" s="9"/>
    </row>
    <row r="320" spans="1:13" ht="11.85" customHeight="1" outlineLevel="3">
      <c r="A320" s="7"/>
      <c r="B320" s="8"/>
      <c r="C320" s="6"/>
      <c r="D320" s="6" t="s">
        <v>201</v>
      </c>
      <c r="E320" s="5">
        <v>58</v>
      </c>
      <c r="F320" s="701" t="s">
        <v>691</v>
      </c>
      <c r="G320" s="701"/>
      <c r="H320" s="6"/>
      <c r="I320" s="6"/>
      <c r="J320" s="6"/>
      <c r="K320" s="9"/>
      <c r="L320" s="9"/>
      <c r="M320" s="9"/>
    </row>
    <row r="321" spans="1:13" ht="11.85" customHeight="1" outlineLevel="3">
      <c r="A321" s="7"/>
      <c r="B321" s="8"/>
      <c r="C321" s="6"/>
      <c r="D321" s="6" t="s">
        <v>276</v>
      </c>
      <c r="E321" s="5">
        <v>58</v>
      </c>
      <c r="F321" s="701" t="s">
        <v>692</v>
      </c>
      <c r="G321" s="701"/>
      <c r="H321" s="6"/>
      <c r="I321" s="6"/>
      <c r="J321" s="6"/>
      <c r="K321" s="9"/>
      <c r="L321" s="9"/>
      <c r="M321" s="9"/>
    </row>
    <row r="322" spans="1:13" ht="11.85" customHeight="1" outlineLevel="3">
      <c r="A322" s="7"/>
      <c r="B322" s="8"/>
      <c r="C322" s="6"/>
      <c r="D322" s="6" t="s">
        <v>279</v>
      </c>
      <c r="E322" s="5">
        <v>66</v>
      </c>
      <c r="F322" s="701" t="s">
        <v>693</v>
      </c>
      <c r="G322" s="701"/>
      <c r="H322" s="6"/>
      <c r="I322" s="6"/>
      <c r="J322" s="6"/>
      <c r="K322" s="9"/>
      <c r="L322" s="9"/>
      <c r="M322" s="10">
        <v>303</v>
      </c>
    </row>
    <row r="323" spans="1:13" ht="11.85" customHeight="1" outlineLevel="3">
      <c r="A323" s="7"/>
      <c r="B323" s="8"/>
      <c r="C323" s="6"/>
      <c r="D323" s="6" t="s">
        <v>280</v>
      </c>
      <c r="E323" s="5">
        <v>90</v>
      </c>
      <c r="F323" s="701" t="s">
        <v>694</v>
      </c>
      <c r="G323" s="701"/>
      <c r="H323" s="6"/>
      <c r="I323" s="6"/>
      <c r="J323" s="6"/>
      <c r="K323" s="9"/>
      <c r="L323" s="9"/>
      <c r="M323" s="10">
        <v>85</v>
      </c>
    </row>
    <row r="324" spans="1:13" ht="11.85" customHeight="1" outlineLevel="3">
      <c r="A324" s="7"/>
      <c r="B324" s="8"/>
      <c r="C324" s="6"/>
      <c r="D324" s="6" t="s">
        <v>292</v>
      </c>
      <c r="E324" s="5">
        <v>63</v>
      </c>
      <c r="F324" s="701" t="s">
        <v>695</v>
      </c>
      <c r="G324" s="701"/>
      <c r="H324" s="6"/>
      <c r="I324" s="6"/>
      <c r="J324" s="6"/>
      <c r="K324" s="9"/>
      <c r="L324" s="9"/>
      <c r="M324" s="9"/>
    </row>
    <row r="325" spans="1:13" ht="11.85" customHeight="1" outlineLevel="3">
      <c r="A325" s="7"/>
      <c r="B325" s="8"/>
      <c r="C325" s="6"/>
      <c r="D325" s="6" t="s">
        <v>293</v>
      </c>
      <c r="E325" s="5">
        <v>67</v>
      </c>
      <c r="F325" s="701" t="s">
        <v>696</v>
      </c>
      <c r="G325" s="701"/>
      <c r="H325" s="6"/>
      <c r="I325" s="6"/>
      <c r="J325" s="6"/>
      <c r="K325" s="9"/>
      <c r="L325" s="9"/>
      <c r="M325" s="9"/>
    </row>
    <row r="326" spans="1:13" ht="11.85" customHeight="1" outlineLevel="3">
      <c r="A326" s="7"/>
      <c r="B326" s="8"/>
      <c r="C326" s="6"/>
      <c r="D326" s="6" t="s">
        <v>294</v>
      </c>
      <c r="E326" s="5">
        <v>67</v>
      </c>
      <c r="F326" s="701" t="s">
        <v>697</v>
      </c>
      <c r="G326" s="701"/>
      <c r="H326" s="6"/>
      <c r="I326" s="6"/>
      <c r="J326" s="6"/>
      <c r="K326" s="9"/>
      <c r="L326" s="9"/>
      <c r="M326" s="9"/>
    </row>
    <row r="327" spans="1:13" ht="11.85" customHeight="1" outlineLevel="3">
      <c r="A327" s="7"/>
      <c r="B327" s="8"/>
      <c r="C327" s="6"/>
      <c r="D327" s="6" t="s">
        <v>295</v>
      </c>
      <c r="E327" s="5">
        <v>96</v>
      </c>
      <c r="F327" s="701" t="s">
        <v>698</v>
      </c>
      <c r="G327" s="701"/>
      <c r="H327" s="6"/>
      <c r="I327" s="6"/>
      <c r="J327" s="6"/>
      <c r="K327" s="9"/>
      <c r="L327" s="9"/>
      <c r="M327" s="9"/>
    </row>
    <row r="328" spans="1:13" ht="11.85" customHeight="1" outlineLevel="3">
      <c r="A328" s="7"/>
      <c r="B328" s="8"/>
      <c r="C328" s="6"/>
      <c r="D328" s="6" t="s">
        <v>233</v>
      </c>
      <c r="E328" s="5">
        <v>12</v>
      </c>
      <c r="F328" s="701" t="s">
        <v>699</v>
      </c>
      <c r="G328" s="701"/>
      <c r="H328" s="6"/>
      <c r="I328" s="6"/>
      <c r="J328" s="6"/>
      <c r="K328" s="9"/>
      <c r="L328" s="9"/>
      <c r="M328" s="9"/>
    </row>
    <row r="329" spans="1:13" ht="11.85" customHeight="1" outlineLevel="3">
      <c r="A329" s="7"/>
      <c r="B329" s="8"/>
      <c r="C329" s="6"/>
      <c r="D329" s="6" t="s">
        <v>134</v>
      </c>
      <c r="E329" s="5">
        <v>36</v>
      </c>
      <c r="F329" s="701" t="s">
        <v>700</v>
      </c>
      <c r="G329" s="701"/>
      <c r="H329" s="6"/>
      <c r="I329" s="6"/>
      <c r="J329" s="6"/>
      <c r="K329" s="9"/>
      <c r="L329" s="9"/>
      <c r="M329" s="9"/>
    </row>
    <row r="330" spans="1:13" ht="11.85" customHeight="1" outlineLevel="3">
      <c r="A330" s="7"/>
      <c r="B330" s="8"/>
      <c r="C330" s="6"/>
      <c r="D330" s="6" t="s">
        <v>269</v>
      </c>
      <c r="E330" s="5">
        <v>128</v>
      </c>
      <c r="F330" s="701" t="s">
        <v>701</v>
      </c>
      <c r="G330" s="701"/>
      <c r="H330" s="6"/>
      <c r="I330" s="6"/>
      <c r="J330" s="6"/>
      <c r="K330" s="9"/>
      <c r="L330" s="9"/>
      <c r="M330" s="9"/>
    </row>
    <row r="331" spans="1:13" ht="11.85" customHeight="1" outlineLevel="3">
      <c r="A331" s="7"/>
      <c r="B331" s="8"/>
      <c r="C331" s="6"/>
      <c r="D331" s="6" t="s">
        <v>285</v>
      </c>
      <c r="E331" s="5">
        <v>106</v>
      </c>
      <c r="F331" s="701" t="s">
        <v>702</v>
      </c>
      <c r="G331" s="701"/>
      <c r="H331" s="6"/>
      <c r="I331" s="6"/>
      <c r="J331" s="6"/>
      <c r="K331" s="9"/>
      <c r="L331" s="9"/>
      <c r="M331" s="9"/>
    </row>
    <row r="332" spans="1:13" ht="11.85" customHeight="1" outlineLevel="3">
      <c r="A332" s="7"/>
      <c r="B332" s="8"/>
      <c r="C332" s="6"/>
      <c r="D332" s="6" t="s">
        <v>286</v>
      </c>
      <c r="E332" s="5">
        <v>106</v>
      </c>
      <c r="F332" s="701" t="s">
        <v>703</v>
      </c>
      <c r="G332" s="701"/>
      <c r="H332" s="6"/>
      <c r="I332" s="6"/>
      <c r="J332" s="6"/>
      <c r="K332" s="9"/>
      <c r="L332" s="9"/>
      <c r="M332" s="9"/>
    </row>
    <row r="333" spans="1:13" ht="11.85" customHeight="1" outlineLevel="3">
      <c r="A333" s="7"/>
      <c r="B333" s="8"/>
      <c r="C333" s="6"/>
      <c r="D333" s="6" t="s">
        <v>287</v>
      </c>
      <c r="E333" s="5">
        <v>133</v>
      </c>
      <c r="F333" s="701" t="s">
        <v>704</v>
      </c>
      <c r="G333" s="701"/>
      <c r="H333" s="6"/>
      <c r="I333" s="6"/>
      <c r="J333" s="6"/>
      <c r="K333" s="9"/>
      <c r="L333" s="9"/>
      <c r="M333" s="9"/>
    </row>
    <row r="334" spans="1:13" ht="11.85" customHeight="1" outlineLevel="3">
      <c r="A334" s="7"/>
      <c r="B334" s="8"/>
      <c r="C334" s="6"/>
      <c r="D334" s="6" t="s">
        <v>263</v>
      </c>
      <c r="E334" s="5">
        <v>125</v>
      </c>
      <c r="F334" s="701" t="s">
        <v>705</v>
      </c>
      <c r="G334" s="701"/>
      <c r="H334" s="6"/>
      <c r="I334" s="6"/>
      <c r="J334" s="6"/>
      <c r="K334" s="9"/>
      <c r="L334" s="9"/>
      <c r="M334" s="9"/>
    </row>
    <row r="335" spans="1:13" ht="11.85" customHeight="1" outlineLevel="3">
      <c r="A335" s="7"/>
      <c r="B335" s="8"/>
      <c r="C335" s="6"/>
      <c r="D335" s="6" t="s">
        <v>264</v>
      </c>
      <c r="E335" s="5">
        <v>68</v>
      </c>
      <c r="F335" s="701" t="s">
        <v>706</v>
      </c>
      <c r="G335" s="701"/>
      <c r="H335" s="6"/>
      <c r="I335" s="6"/>
      <c r="J335" s="6"/>
      <c r="K335" s="9"/>
      <c r="L335" s="9"/>
      <c r="M335" s="9"/>
    </row>
    <row r="336" spans="1:13" ht="11.85" customHeight="1" outlineLevel="3">
      <c r="A336" s="7"/>
      <c r="B336" s="8"/>
      <c r="C336" s="6"/>
      <c r="D336" s="6" t="s">
        <v>86</v>
      </c>
      <c r="E336" s="5">
        <v>66</v>
      </c>
      <c r="F336" s="701" t="s">
        <v>707</v>
      </c>
      <c r="G336" s="701"/>
      <c r="H336" s="6"/>
      <c r="I336" s="6"/>
      <c r="J336" s="6"/>
      <c r="K336" s="9"/>
      <c r="L336" s="9"/>
      <c r="M336" s="9"/>
    </row>
    <row r="337" spans="1:13" ht="11.85" customHeight="1" outlineLevel="3">
      <c r="A337" s="7"/>
      <c r="B337" s="8"/>
      <c r="C337" s="6"/>
      <c r="D337" s="6" t="s">
        <v>265</v>
      </c>
      <c r="E337" s="5">
        <v>89</v>
      </c>
      <c r="F337" s="701" t="s">
        <v>708</v>
      </c>
      <c r="G337" s="701"/>
      <c r="H337" s="6"/>
      <c r="I337" s="6"/>
      <c r="J337" s="6"/>
      <c r="K337" s="9"/>
      <c r="L337" s="9"/>
      <c r="M337" s="9"/>
    </row>
    <row r="338" spans="1:13" ht="11.85" customHeight="1" outlineLevel="3">
      <c r="A338" s="7"/>
      <c r="B338" s="8"/>
      <c r="C338" s="6"/>
      <c r="D338" s="6" t="s">
        <v>261</v>
      </c>
      <c r="E338" s="5">
        <v>99</v>
      </c>
      <c r="F338" s="701" t="s">
        <v>709</v>
      </c>
      <c r="G338" s="701"/>
      <c r="H338" s="6"/>
      <c r="I338" s="6"/>
      <c r="J338" s="6"/>
      <c r="K338" s="9"/>
      <c r="L338" s="9"/>
      <c r="M338" s="9"/>
    </row>
    <row r="339" spans="1:13" ht="11.85" customHeight="1" outlineLevel="3">
      <c r="A339" s="7"/>
      <c r="B339" s="8"/>
      <c r="C339" s="6"/>
      <c r="D339" s="6" t="s">
        <v>260</v>
      </c>
      <c r="E339" s="5">
        <v>132</v>
      </c>
      <c r="F339" s="701" t="s">
        <v>710</v>
      </c>
      <c r="G339" s="701"/>
      <c r="H339" s="6"/>
      <c r="I339" s="6"/>
      <c r="J339" s="6"/>
      <c r="K339" s="9"/>
      <c r="L339" s="9"/>
      <c r="M339" s="9"/>
    </row>
    <row r="340" spans="1:13" ht="11.85" customHeight="1" outlineLevel="3">
      <c r="A340" s="7"/>
      <c r="B340" s="8"/>
      <c r="C340" s="6"/>
      <c r="D340" s="6" t="s">
        <v>111</v>
      </c>
      <c r="E340" s="5">
        <v>5</v>
      </c>
      <c r="F340" s="701" t="s">
        <v>711</v>
      </c>
      <c r="G340" s="701"/>
      <c r="H340" s="6"/>
      <c r="I340" s="6"/>
      <c r="J340" s="6"/>
      <c r="K340" s="9"/>
      <c r="L340" s="9"/>
      <c r="M340" s="9"/>
    </row>
    <row r="341" spans="1:13" ht="11.85" customHeight="1" outlineLevel="3">
      <c r="A341" s="7"/>
      <c r="B341" s="8"/>
      <c r="C341" s="6"/>
      <c r="D341" s="6" t="s">
        <v>262</v>
      </c>
      <c r="E341" s="5">
        <v>108</v>
      </c>
      <c r="F341" s="701" t="s">
        <v>712</v>
      </c>
      <c r="G341" s="701"/>
      <c r="H341" s="6"/>
      <c r="I341" s="6"/>
      <c r="J341" s="6"/>
      <c r="K341" s="9"/>
      <c r="L341" s="9"/>
      <c r="M341" s="9"/>
    </row>
    <row r="342" spans="1:13" ht="11.85" customHeight="1" outlineLevel="3">
      <c r="A342" s="7"/>
      <c r="B342" s="8"/>
      <c r="C342" s="6"/>
      <c r="D342" s="6" t="s">
        <v>263</v>
      </c>
      <c r="E342" s="5">
        <v>125</v>
      </c>
      <c r="F342" s="701" t="s">
        <v>713</v>
      </c>
      <c r="G342" s="701"/>
      <c r="H342" s="6"/>
      <c r="I342" s="6"/>
      <c r="J342" s="6"/>
      <c r="K342" s="9"/>
      <c r="L342" s="9"/>
      <c r="M342" s="9"/>
    </row>
    <row r="343" spans="1:13" ht="11.85" customHeight="1" outlineLevel="3">
      <c r="A343" s="7"/>
      <c r="B343" s="8"/>
      <c r="C343" s="6"/>
      <c r="D343" s="6" t="s">
        <v>53</v>
      </c>
      <c r="E343" s="5">
        <v>90</v>
      </c>
      <c r="F343" s="701" t="s">
        <v>714</v>
      </c>
      <c r="G343" s="701"/>
      <c r="H343" s="6"/>
      <c r="I343" s="6"/>
      <c r="J343" s="6"/>
      <c r="K343" s="9"/>
      <c r="L343" s="9"/>
      <c r="M343" s="9"/>
    </row>
    <row r="344" spans="1:13" ht="11.85" customHeight="1" outlineLevel="3">
      <c r="A344" s="7"/>
      <c r="B344" s="8"/>
      <c r="C344" s="6"/>
      <c r="D344" s="6" t="s">
        <v>715</v>
      </c>
      <c r="E344" s="5">
        <v>86</v>
      </c>
      <c r="F344" s="701" t="s">
        <v>716</v>
      </c>
      <c r="G344" s="701"/>
      <c r="H344" s="6"/>
      <c r="I344" s="6"/>
      <c r="J344" s="6"/>
      <c r="K344" s="9"/>
      <c r="L344" s="9"/>
      <c r="M344" s="9"/>
    </row>
    <row r="345" spans="1:13" ht="11.85" customHeight="1" outlineLevel="1">
      <c r="A345" s="699" t="s">
        <v>296</v>
      </c>
      <c r="B345" s="699"/>
      <c r="C345" s="699"/>
      <c r="D345" s="699"/>
      <c r="E345" s="699"/>
      <c r="F345" s="699"/>
      <c r="G345" s="699"/>
      <c r="H345" s="699"/>
      <c r="I345" s="699"/>
      <c r="J345" s="699"/>
      <c r="K345" s="699"/>
      <c r="L345" s="699"/>
      <c r="M345" s="699"/>
    </row>
    <row r="346" spans="1:13" ht="11.85" customHeight="1" outlineLevel="2">
      <c r="A346" s="700" t="s">
        <v>404</v>
      </c>
      <c r="B346" s="700"/>
      <c r="C346" s="700"/>
      <c r="D346" s="700"/>
      <c r="E346" s="700"/>
      <c r="F346" s="700"/>
      <c r="G346" s="700"/>
      <c r="H346" s="700"/>
      <c r="I346" s="700"/>
      <c r="J346" s="700"/>
      <c r="K346" s="700"/>
      <c r="L346" s="700"/>
      <c r="M346" s="700"/>
    </row>
    <row r="347" spans="1:13" ht="11.85" customHeight="1" outlineLevel="3">
      <c r="A347" s="7"/>
      <c r="B347" s="8"/>
      <c r="C347" s="6"/>
      <c r="D347" s="6" t="s">
        <v>334</v>
      </c>
      <c r="E347" s="5">
        <v>46</v>
      </c>
      <c r="F347" s="701" t="s">
        <v>717</v>
      </c>
      <c r="G347" s="701"/>
      <c r="H347" s="6"/>
      <c r="I347" s="6"/>
      <c r="J347" s="6"/>
      <c r="K347" s="9"/>
      <c r="L347" s="9"/>
      <c r="M347" s="9"/>
    </row>
    <row r="348" spans="1:13" ht="11.85" customHeight="1" outlineLevel="3">
      <c r="A348" s="7"/>
      <c r="B348" s="8"/>
      <c r="C348" s="6"/>
      <c r="D348" s="6" t="s">
        <v>335</v>
      </c>
      <c r="E348" s="5">
        <v>126</v>
      </c>
      <c r="F348" s="701" t="s">
        <v>717</v>
      </c>
      <c r="G348" s="701"/>
      <c r="H348" s="6"/>
      <c r="I348" s="6"/>
      <c r="J348" s="6"/>
      <c r="K348" s="9"/>
      <c r="L348" s="9"/>
      <c r="M348" s="9"/>
    </row>
    <row r="349" spans="1:13" ht="11.85" customHeight="1" outlineLevel="3">
      <c r="A349" s="7"/>
      <c r="B349" s="8"/>
      <c r="C349" s="6"/>
      <c r="D349" s="6" t="s">
        <v>299</v>
      </c>
      <c r="E349" s="5">
        <v>103</v>
      </c>
      <c r="F349" s="701" t="s">
        <v>718</v>
      </c>
      <c r="G349" s="701"/>
      <c r="H349" s="6"/>
      <c r="I349" s="6"/>
      <c r="J349" s="6"/>
      <c r="K349" s="9"/>
      <c r="L349" s="9"/>
      <c r="M349" s="9"/>
    </row>
    <row r="350" spans="1:13" ht="11.85" customHeight="1" outlineLevel="3">
      <c r="A350" s="7"/>
      <c r="B350" s="8"/>
      <c r="C350" s="6"/>
      <c r="D350" s="6" t="s">
        <v>21</v>
      </c>
      <c r="E350" s="5">
        <v>62</v>
      </c>
      <c r="F350" s="701" t="s">
        <v>719</v>
      </c>
      <c r="G350" s="701"/>
      <c r="H350" s="6"/>
      <c r="I350" s="6"/>
      <c r="J350" s="6"/>
      <c r="K350" s="9"/>
      <c r="L350" s="9"/>
      <c r="M350" s="9"/>
    </row>
    <row r="351" spans="1:13" ht="11.85" customHeight="1" outlineLevel="3">
      <c r="A351" s="7"/>
      <c r="B351" s="8"/>
      <c r="C351" s="6"/>
      <c r="D351" s="6" t="s">
        <v>305</v>
      </c>
      <c r="E351" s="5">
        <v>8</v>
      </c>
      <c r="F351" s="701" t="s">
        <v>720</v>
      </c>
      <c r="G351" s="701"/>
      <c r="H351" s="6"/>
      <c r="I351" s="6"/>
      <c r="J351" s="6"/>
      <c r="K351" s="9"/>
      <c r="L351" s="9"/>
      <c r="M351" s="9"/>
    </row>
    <row r="352" spans="1:13" ht="11.85" customHeight="1" outlineLevel="3">
      <c r="A352" s="7"/>
      <c r="B352" s="8"/>
      <c r="C352" s="6"/>
      <c r="D352" s="6" t="s">
        <v>304</v>
      </c>
      <c r="E352" s="5">
        <v>42</v>
      </c>
      <c r="F352" s="701" t="s">
        <v>721</v>
      </c>
      <c r="G352" s="701"/>
      <c r="H352" s="6"/>
      <c r="I352" s="6"/>
      <c r="J352" s="6"/>
      <c r="K352" s="9"/>
      <c r="L352" s="9"/>
      <c r="M352" s="9"/>
    </row>
    <row r="353" spans="1:13" ht="11.85" customHeight="1" outlineLevel="3">
      <c r="A353" s="7"/>
      <c r="B353" s="8"/>
      <c r="C353" s="6"/>
      <c r="D353" s="6" t="s">
        <v>303</v>
      </c>
      <c r="E353" s="5">
        <v>90</v>
      </c>
      <c r="F353" s="701" t="s">
        <v>722</v>
      </c>
      <c r="G353" s="701"/>
      <c r="H353" s="6"/>
      <c r="I353" s="6"/>
      <c r="J353" s="6"/>
      <c r="K353" s="9"/>
      <c r="L353" s="9"/>
      <c r="M353" s="9"/>
    </row>
    <row r="354" spans="1:13" ht="11.85" customHeight="1" outlineLevel="3">
      <c r="A354" s="7"/>
      <c r="B354" s="8"/>
      <c r="C354" s="6"/>
      <c r="D354" s="6" t="s">
        <v>36</v>
      </c>
      <c r="E354" s="5">
        <v>64</v>
      </c>
      <c r="F354" s="701" t="s">
        <v>723</v>
      </c>
      <c r="G354" s="701"/>
      <c r="H354" s="6"/>
      <c r="I354" s="6"/>
      <c r="J354" s="6"/>
      <c r="K354" s="9"/>
      <c r="L354" s="9"/>
      <c r="M354" s="9"/>
    </row>
    <row r="355" spans="1:13" ht="11.85" customHeight="1" outlineLevel="3">
      <c r="A355" s="7"/>
      <c r="B355" s="8"/>
      <c r="C355" s="6"/>
      <c r="D355" s="6" t="s">
        <v>366</v>
      </c>
      <c r="E355" s="5">
        <v>37</v>
      </c>
      <c r="F355" s="701" t="s">
        <v>724</v>
      </c>
      <c r="G355" s="701"/>
      <c r="H355" s="6"/>
      <c r="I355" s="6"/>
      <c r="J355" s="6"/>
      <c r="K355" s="9"/>
      <c r="L355" s="9"/>
      <c r="M355" s="9"/>
    </row>
    <row r="356" spans="1:13" ht="11.85" customHeight="1" outlineLevel="3">
      <c r="A356" s="7"/>
      <c r="B356" s="8"/>
      <c r="C356" s="6"/>
      <c r="D356" s="6" t="s">
        <v>130</v>
      </c>
      <c r="E356" s="5">
        <v>37</v>
      </c>
      <c r="F356" s="701" t="s">
        <v>725</v>
      </c>
      <c r="G356" s="701"/>
      <c r="H356" s="6"/>
      <c r="I356" s="6"/>
      <c r="J356" s="6"/>
      <c r="K356" s="9"/>
      <c r="L356" s="9"/>
      <c r="M356" s="9"/>
    </row>
    <row r="357" spans="1:13" ht="11.85" customHeight="1" outlineLevel="3">
      <c r="A357" s="7"/>
      <c r="B357" s="8"/>
      <c r="C357" s="6"/>
      <c r="D357" s="6" t="s">
        <v>347</v>
      </c>
      <c r="E357" s="5">
        <v>70</v>
      </c>
      <c r="F357" s="701" t="s">
        <v>726</v>
      </c>
      <c r="G357" s="701"/>
      <c r="H357" s="6"/>
      <c r="I357" s="6"/>
      <c r="J357" s="6"/>
      <c r="K357" s="9"/>
      <c r="L357" s="9"/>
      <c r="M357" s="9"/>
    </row>
    <row r="358" spans="1:13" ht="11.85" customHeight="1" outlineLevel="3">
      <c r="A358" s="7"/>
      <c r="B358" s="8"/>
      <c r="C358" s="6"/>
      <c r="D358" s="6" t="s">
        <v>117</v>
      </c>
      <c r="E358" s="5">
        <v>18</v>
      </c>
      <c r="F358" s="701" t="s">
        <v>727</v>
      </c>
      <c r="G358" s="701"/>
      <c r="H358" s="6"/>
      <c r="I358" s="6"/>
      <c r="J358" s="6"/>
      <c r="K358" s="9"/>
      <c r="L358" s="9"/>
      <c r="M358" s="9"/>
    </row>
    <row r="359" spans="1:13" ht="11.85" customHeight="1" outlineLevel="3">
      <c r="A359" s="7"/>
      <c r="B359" s="8"/>
      <c r="C359" s="6"/>
      <c r="D359" s="6" t="s">
        <v>297</v>
      </c>
      <c r="E359" s="5">
        <v>99</v>
      </c>
      <c r="F359" s="701" t="s">
        <v>728</v>
      </c>
      <c r="G359" s="701"/>
      <c r="H359" s="6"/>
      <c r="I359" s="6"/>
      <c r="J359" s="6"/>
      <c r="K359" s="9"/>
      <c r="L359" s="9"/>
      <c r="M359" s="9"/>
    </row>
    <row r="360" spans="1:13" ht="11.85" customHeight="1" outlineLevel="3">
      <c r="A360" s="7"/>
      <c r="B360" s="8"/>
      <c r="C360" s="6"/>
      <c r="D360" s="6" t="s">
        <v>348</v>
      </c>
      <c r="E360" s="5">
        <v>98</v>
      </c>
      <c r="F360" s="701" t="s">
        <v>729</v>
      </c>
      <c r="G360" s="701"/>
      <c r="H360" s="6"/>
      <c r="I360" s="6"/>
      <c r="J360" s="6"/>
      <c r="K360" s="9"/>
      <c r="L360" s="9"/>
      <c r="M360" s="9"/>
    </row>
    <row r="361" spans="1:13" ht="11.85" customHeight="1" outlineLevel="3">
      <c r="A361" s="7"/>
      <c r="B361" s="8"/>
      <c r="C361" s="6"/>
      <c r="D361" s="6" t="s">
        <v>326</v>
      </c>
      <c r="E361" s="5">
        <v>32</v>
      </c>
      <c r="F361" s="701" t="s">
        <v>730</v>
      </c>
      <c r="G361" s="701"/>
      <c r="H361" s="6"/>
      <c r="I361" s="6"/>
      <c r="J361" s="6"/>
      <c r="K361" s="9"/>
      <c r="L361" s="9"/>
      <c r="M361" s="9"/>
    </row>
    <row r="362" spans="1:13" ht="11.85" customHeight="1" outlineLevel="3">
      <c r="A362" s="7"/>
      <c r="B362" s="8"/>
      <c r="C362" s="6"/>
      <c r="D362" s="6" t="s">
        <v>221</v>
      </c>
      <c r="E362" s="5">
        <v>32</v>
      </c>
      <c r="F362" s="701" t="s">
        <v>731</v>
      </c>
      <c r="G362" s="701"/>
      <c r="H362" s="6"/>
      <c r="I362" s="6"/>
      <c r="J362" s="6"/>
      <c r="K362" s="9"/>
      <c r="L362" s="9"/>
      <c r="M362" s="9"/>
    </row>
    <row r="363" spans="1:13" ht="11.85" customHeight="1" outlineLevel="3">
      <c r="A363" s="7"/>
      <c r="B363" s="8"/>
      <c r="C363" s="6"/>
      <c r="D363" s="6" t="s">
        <v>330</v>
      </c>
      <c r="E363" s="5">
        <v>135</v>
      </c>
      <c r="F363" s="701" t="s">
        <v>732</v>
      </c>
      <c r="G363" s="701"/>
      <c r="H363" s="6"/>
      <c r="I363" s="6"/>
      <c r="J363" s="6"/>
      <c r="K363" s="9"/>
      <c r="L363" s="9"/>
      <c r="M363" s="9"/>
    </row>
    <row r="364" spans="1:13" ht="11.85" customHeight="1" outlineLevel="3">
      <c r="A364" s="7"/>
      <c r="B364" s="8"/>
      <c r="C364" s="6"/>
      <c r="D364" s="6" t="s">
        <v>362</v>
      </c>
      <c r="E364" s="5">
        <v>131</v>
      </c>
      <c r="F364" s="701" t="s">
        <v>733</v>
      </c>
      <c r="G364" s="701"/>
      <c r="H364" s="6"/>
      <c r="I364" s="6"/>
      <c r="J364" s="6"/>
      <c r="K364" s="9"/>
      <c r="L364" s="9"/>
      <c r="M364" s="9"/>
    </row>
    <row r="365" spans="1:13" ht="11.85" customHeight="1" outlineLevel="3">
      <c r="A365" s="7"/>
      <c r="B365" s="8"/>
      <c r="C365" s="6"/>
      <c r="D365" s="6" t="s">
        <v>329</v>
      </c>
      <c r="E365" s="5">
        <v>135</v>
      </c>
      <c r="F365" s="701" t="s">
        <v>734</v>
      </c>
      <c r="G365" s="701"/>
      <c r="H365" s="6"/>
      <c r="I365" s="6"/>
      <c r="J365" s="6"/>
      <c r="K365" s="9"/>
      <c r="L365" s="9"/>
      <c r="M365" s="9"/>
    </row>
    <row r="366" spans="1:13" ht="11.85" customHeight="1" outlineLevel="3">
      <c r="A366" s="7"/>
      <c r="B366" s="8"/>
      <c r="C366" s="6"/>
      <c r="D366" s="6" t="s">
        <v>363</v>
      </c>
      <c r="E366" s="5">
        <v>27</v>
      </c>
      <c r="F366" s="701" t="s">
        <v>735</v>
      </c>
      <c r="G366" s="701"/>
      <c r="H366" s="6"/>
      <c r="I366" s="6"/>
      <c r="J366" s="6"/>
      <c r="K366" s="9"/>
      <c r="L366" s="9"/>
      <c r="M366" s="9"/>
    </row>
    <row r="367" spans="1:13" ht="11.85" customHeight="1" outlineLevel="3">
      <c r="A367" s="7"/>
      <c r="B367" s="8"/>
      <c r="C367" s="6"/>
      <c r="D367" s="6" t="s">
        <v>325</v>
      </c>
      <c r="E367" s="5">
        <v>8</v>
      </c>
      <c r="F367" s="701" t="s">
        <v>736</v>
      </c>
      <c r="G367" s="701"/>
      <c r="H367" s="6"/>
      <c r="I367" s="6"/>
      <c r="J367" s="6"/>
      <c r="K367" s="9"/>
      <c r="L367" s="9"/>
      <c r="M367" s="9"/>
    </row>
    <row r="368" spans="1:13" ht="11.85" customHeight="1" outlineLevel="3">
      <c r="A368" s="7"/>
      <c r="B368" s="8"/>
      <c r="C368" s="6"/>
      <c r="D368" s="6" t="s">
        <v>322</v>
      </c>
      <c r="E368" s="5">
        <v>7</v>
      </c>
      <c r="F368" s="701" t="s">
        <v>737</v>
      </c>
      <c r="G368" s="701"/>
      <c r="H368" s="6"/>
      <c r="I368" s="6"/>
      <c r="J368" s="6"/>
      <c r="K368" s="9"/>
      <c r="L368" s="9"/>
      <c r="M368" s="9"/>
    </row>
    <row r="369" spans="1:13" ht="11.85" customHeight="1" outlineLevel="3">
      <c r="A369" s="7"/>
      <c r="B369" s="8"/>
      <c r="C369" s="6"/>
      <c r="D369" s="6" t="s">
        <v>327</v>
      </c>
      <c r="E369" s="5">
        <v>10</v>
      </c>
      <c r="F369" s="701" t="s">
        <v>738</v>
      </c>
      <c r="G369" s="701"/>
      <c r="H369" s="6"/>
      <c r="I369" s="6"/>
      <c r="J369" s="6"/>
      <c r="K369" s="9"/>
      <c r="L369" s="9"/>
      <c r="M369" s="9"/>
    </row>
    <row r="370" spans="1:13" ht="11.85" customHeight="1" outlineLevel="3">
      <c r="A370" s="7"/>
      <c r="B370" s="8"/>
      <c r="C370" s="6"/>
      <c r="D370" s="6" t="s">
        <v>328</v>
      </c>
      <c r="E370" s="5">
        <v>10</v>
      </c>
      <c r="F370" s="701" t="s">
        <v>739</v>
      </c>
      <c r="G370" s="701"/>
      <c r="H370" s="6"/>
      <c r="I370" s="6"/>
      <c r="J370" s="6"/>
      <c r="K370" s="9"/>
      <c r="L370" s="9"/>
      <c r="M370" s="9"/>
    </row>
    <row r="371" spans="1:13" ht="11.85" customHeight="1" outlineLevel="3">
      <c r="A371" s="7"/>
      <c r="B371" s="8"/>
      <c r="C371" s="6"/>
      <c r="D371" s="6" t="s">
        <v>302</v>
      </c>
      <c r="E371" s="5">
        <v>31</v>
      </c>
      <c r="F371" s="701" t="s">
        <v>740</v>
      </c>
      <c r="G371" s="701"/>
      <c r="H371" s="6"/>
      <c r="I371" s="6"/>
      <c r="J371" s="6"/>
      <c r="K371" s="9"/>
      <c r="L371" s="9"/>
      <c r="M371" s="10">
        <v>80</v>
      </c>
    </row>
    <row r="372" spans="1:13" ht="11.85" customHeight="1" outlineLevel="3">
      <c r="A372" s="7"/>
      <c r="B372" s="8"/>
      <c r="C372" s="6"/>
      <c r="D372" s="6" t="s">
        <v>72</v>
      </c>
      <c r="E372" s="5">
        <v>90</v>
      </c>
      <c r="F372" s="701" t="s">
        <v>741</v>
      </c>
      <c r="G372" s="701"/>
      <c r="H372" s="6"/>
      <c r="I372" s="6"/>
      <c r="J372" s="6"/>
      <c r="K372" s="9"/>
      <c r="L372" s="9"/>
      <c r="M372" s="10">
        <v>105</v>
      </c>
    </row>
    <row r="373" spans="1:13" ht="11.85" customHeight="1" outlineLevel="2">
      <c r="A373" s="700" t="s">
        <v>431</v>
      </c>
      <c r="B373" s="700"/>
      <c r="C373" s="700"/>
      <c r="D373" s="700"/>
      <c r="E373" s="700"/>
      <c r="F373" s="700"/>
      <c r="G373" s="700"/>
      <c r="H373" s="700"/>
      <c r="I373" s="700"/>
      <c r="J373" s="700"/>
      <c r="K373" s="700"/>
      <c r="L373" s="700"/>
      <c r="M373" s="700"/>
    </row>
    <row r="374" spans="1:13" ht="11.85" customHeight="1" outlineLevel="3">
      <c r="A374" s="7"/>
      <c r="B374" s="8"/>
      <c r="C374" s="6"/>
      <c r="D374" s="6" t="s">
        <v>333</v>
      </c>
      <c r="E374" s="5">
        <v>18</v>
      </c>
      <c r="F374" s="701" t="s">
        <v>742</v>
      </c>
      <c r="G374" s="701"/>
      <c r="H374" s="6"/>
      <c r="I374" s="6"/>
      <c r="J374" s="6"/>
      <c r="K374" s="9"/>
      <c r="L374" s="9"/>
      <c r="M374" s="10">
        <v>57</v>
      </c>
    </row>
    <row r="375" spans="1:13" ht="11.85" customHeight="1" outlineLevel="3">
      <c r="A375" s="7"/>
      <c r="B375" s="8"/>
      <c r="C375" s="6"/>
      <c r="D375" s="6" t="s">
        <v>332</v>
      </c>
      <c r="E375" s="5">
        <v>95</v>
      </c>
      <c r="F375" s="701" t="s">
        <v>743</v>
      </c>
      <c r="G375" s="701"/>
      <c r="H375" s="6"/>
      <c r="I375" s="6"/>
      <c r="J375" s="6"/>
      <c r="K375" s="9"/>
      <c r="L375" s="9"/>
      <c r="M375" s="10">
        <v>68</v>
      </c>
    </row>
    <row r="376" spans="1:13" ht="11.85" customHeight="1" outlineLevel="3">
      <c r="A376" s="7"/>
      <c r="B376" s="8"/>
      <c r="C376" s="6"/>
      <c r="D376" s="6" t="s">
        <v>317</v>
      </c>
      <c r="E376" s="5">
        <v>143</v>
      </c>
      <c r="F376" s="701" t="s">
        <v>744</v>
      </c>
      <c r="G376" s="701"/>
      <c r="H376" s="6"/>
      <c r="I376" s="6"/>
      <c r="J376" s="6"/>
      <c r="K376" s="9"/>
      <c r="L376" s="9"/>
      <c r="M376" s="10">
        <v>324</v>
      </c>
    </row>
    <row r="377" spans="1:13" ht="11.85" customHeight="1" outlineLevel="3">
      <c r="A377" s="7"/>
      <c r="B377" s="8"/>
      <c r="C377" s="6"/>
      <c r="D377" s="6" t="s">
        <v>316</v>
      </c>
      <c r="E377" s="5">
        <v>170</v>
      </c>
      <c r="F377" s="701" t="s">
        <v>745</v>
      </c>
      <c r="G377" s="701"/>
      <c r="H377" s="6"/>
      <c r="I377" s="6"/>
      <c r="J377" s="6"/>
      <c r="K377" s="9"/>
      <c r="L377" s="9"/>
      <c r="M377" s="10">
        <v>849</v>
      </c>
    </row>
    <row r="378" spans="1:13" ht="11.85" customHeight="1" outlineLevel="3">
      <c r="A378" s="7"/>
      <c r="B378" s="8"/>
      <c r="C378" s="6"/>
      <c r="D378" s="6" t="s">
        <v>314</v>
      </c>
      <c r="E378" s="5">
        <v>50</v>
      </c>
      <c r="F378" s="701" t="s">
        <v>746</v>
      </c>
      <c r="G378" s="701"/>
      <c r="H378" s="6"/>
      <c r="I378" s="6"/>
      <c r="J378" s="6"/>
      <c r="K378" s="9"/>
      <c r="L378" s="9"/>
      <c r="M378" s="11">
        <v>1624</v>
      </c>
    </row>
    <row r="379" spans="1:13" ht="11.85" customHeight="1" outlineLevel="3">
      <c r="A379" s="7"/>
      <c r="B379" s="8"/>
      <c r="C379" s="6"/>
      <c r="D379" s="6" t="s">
        <v>315</v>
      </c>
      <c r="E379" s="5">
        <v>14</v>
      </c>
      <c r="F379" s="701" t="s">
        <v>747</v>
      </c>
      <c r="G379" s="701"/>
      <c r="H379" s="6"/>
      <c r="I379" s="6"/>
      <c r="J379" s="6"/>
      <c r="K379" s="9"/>
      <c r="L379" s="9"/>
      <c r="M379" s="10">
        <v>162</v>
      </c>
    </row>
    <row r="380" spans="1:13" ht="11.85" customHeight="1" outlineLevel="3">
      <c r="A380" s="7"/>
      <c r="B380" s="8"/>
      <c r="C380" s="6"/>
      <c r="D380" s="6" t="s">
        <v>318</v>
      </c>
      <c r="E380" s="5">
        <v>157</v>
      </c>
      <c r="F380" s="701" t="s">
        <v>748</v>
      </c>
      <c r="G380" s="701"/>
      <c r="H380" s="6"/>
      <c r="I380" s="6"/>
      <c r="J380" s="6"/>
      <c r="K380" s="9"/>
      <c r="L380" s="9"/>
      <c r="M380" s="10">
        <v>559</v>
      </c>
    </row>
    <row r="381" spans="1:13" ht="11.85" customHeight="1" outlineLevel="3">
      <c r="A381" s="7"/>
      <c r="B381" s="8"/>
      <c r="C381" s="6"/>
      <c r="D381" s="6" t="s">
        <v>64</v>
      </c>
      <c r="E381" s="5">
        <v>73</v>
      </c>
      <c r="F381" s="701" t="s">
        <v>749</v>
      </c>
      <c r="G381" s="701"/>
      <c r="H381" s="6"/>
      <c r="I381" s="6"/>
      <c r="J381" s="6"/>
      <c r="K381" s="9"/>
      <c r="L381" s="9"/>
      <c r="M381" s="10">
        <v>148</v>
      </c>
    </row>
    <row r="382" spans="1:13" ht="11.85" customHeight="1" outlineLevel="3">
      <c r="A382" s="7"/>
      <c r="B382" s="8"/>
      <c r="C382" s="6"/>
      <c r="D382" s="6" t="s">
        <v>36</v>
      </c>
      <c r="E382" s="5">
        <v>64</v>
      </c>
      <c r="F382" s="701" t="s">
        <v>750</v>
      </c>
      <c r="G382" s="701"/>
      <c r="H382" s="6"/>
      <c r="I382" s="6"/>
      <c r="J382" s="6"/>
      <c r="K382" s="9"/>
      <c r="L382" s="9"/>
      <c r="M382" s="9"/>
    </row>
    <row r="383" spans="1:13" ht="11.85" customHeight="1" outlineLevel="3">
      <c r="A383" s="7"/>
      <c r="B383" s="8"/>
      <c r="C383" s="6"/>
      <c r="D383" s="6" t="s">
        <v>335</v>
      </c>
      <c r="E383" s="5">
        <v>126</v>
      </c>
      <c r="F383" s="701" t="s">
        <v>751</v>
      </c>
      <c r="G383" s="701"/>
      <c r="H383" s="6"/>
      <c r="I383" s="6"/>
      <c r="J383" s="6"/>
      <c r="K383" s="9"/>
      <c r="L383" s="9"/>
      <c r="M383" s="9"/>
    </row>
    <row r="384" spans="1:13" ht="11.85" customHeight="1" outlineLevel="3">
      <c r="A384" s="7"/>
      <c r="B384" s="8"/>
      <c r="C384" s="6"/>
      <c r="D384" s="6" t="s">
        <v>344</v>
      </c>
      <c r="E384" s="5">
        <v>3</v>
      </c>
      <c r="F384" s="701" t="s">
        <v>752</v>
      </c>
      <c r="G384" s="701"/>
      <c r="H384" s="6"/>
      <c r="I384" s="6"/>
      <c r="J384" s="6"/>
      <c r="K384" s="9"/>
      <c r="L384" s="9"/>
      <c r="M384" s="9"/>
    </row>
    <row r="385" spans="1:13" ht="11.85" customHeight="1" outlineLevel="3">
      <c r="A385" s="7"/>
      <c r="B385" s="8"/>
      <c r="C385" s="6"/>
      <c r="D385" s="6" t="s">
        <v>349</v>
      </c>
      <c r="E385" s="5">
        <v>99</v>
      </c>
      <c r="F385" s="701" t="s">
        <v>753</v>
      </c>
      <c r="G385" s="701"/>
      <c r="H385" s="6"/>
      <c r="I385" s="6"/>
      <c r="J385" s="6"/>
      <c r="K385" s="9"/>
      <c r="L385" s="9"/>
      <c r="M385" s="10">
        <v>432</v>
      </c>
    </row>
    <row r="386" spans="1:13" ht="11.85" customHeight="1" outlineLevel="3">
      <c r="A386" s="7"/>
      <c r="B386" s="8"/>
      <c r="C386" s="6"/>
      <c r="D386" s="6" t="s">
        <v>323</v>
      </c>
      <c r="E386" s="5">
        <v>45</v>
      </c>
      <c r="F386" s="701" t="s">
        <v>754</v>
      </c>
      <c r="G386" s="701"/>
      <c r="H386" s="6"/>
      <c r="I386" s="6"/>
      <c r="J386" s="6"/>
      <c r="K386" s="9"/>
      <c r="L386" s="9"/>
      <c r="M386" s="10">
        <v>49</v>
      </c>
    </row>
    <row r="387" spans="1:13" ht="11.85" customHeight="1" outlineLevel="3">
      <c r="A387" s="7"/>
      <c r="B387" s="8"/>
      <c r="C387" s="6"/>
      <c r="D387" s="6" t="s">
        <v>300</v>
      </c>
      <c r="E387" s="5">
        <v>111</v>
      </c>
      <c r="F387" s="701" t="s">
        <v>755</v>
      </c>
      <c r="G387" s="701"/>
      <c r="H387" s="6"/>
      <c r="I387" s="6"/>
      <c r="J387" s="6"/>
      <c r="K387" s="9"/>
      <c r="L387" s="9"/>
      <c r="M387" s="10">
        <v>2</v>
      </c>
    </row>
    <row r="388" spans="1:13" ht="11.85" customHeight="1" outlineLevel="3">
      <c r="A388" s="7"/>
      <c r="B388" s="8"/>
      <c r="C388" s="6"/>
      <c r="D388" s="6" t="s">
        <v>301</v>
      </c>
      <c r="E388" s="5">
        <v>110</v>
      </c>
      <c r="F388" s="701" t="s">
        <v>756</v>
      </c>
      <c r="G388" s="701"/>
      <c r="H388" s="6"/>
      <c r="I388" s="6"/>
      <c r="J388" s="6"/>
      <c r="K388" s="9"/>
      <c r="L388" s="9"/>
      <c r="M388" s="10">
        <v>3</v>
      </c>
    </row>
    <row r="389" spans="1:13" ht="11.85" customHeight="1" outlineLevel="3">
      <c r="A389" s="7"/>
      <c r="B389" s="8"/>
      <c r="C389" s="6"/>
      <c r="D389" s="6" t="s">
        <v>324</v>
      </c>
      <c r="E389" s="5">
        <v>45</v>
      </c>
      <c r="F389" s="701" t="s">
        <v>757</v>
      </c>
      <c r="G389" s="701"/>
      <c r="H389" s="6"/>
      <c r="I389" s="6"/>
      <c r="J389" s="6"/>
      <c r="K389" s="9"/>
      <c r="L389" s="9"/>
      <c r="M389" s="10">
        <v>46</v>
      </c>
    </row>
    <row r="390" spans="1:13" ht="11.85" customHeight="1" outlineLevel="3">
      <c r="A390" s="7"/>
      <c r="B390" s="8"/>
      <c r="C390" s="6"/>
      <c r="D390" s="6" t="s">
        <v>352</v>
      </c>
      <c r="E390" s="5">
        <v>157</v>
      </c>
      <c r="F390" s="701" t="s">
        <v>758</v>
      </c>
      <c r="G390" s="701"/>
      <c r="H390" s="6"/>
      <c r="I390" s="6"/>
      <c r="J390" s="6"/>
      <c r="K390" s="9"/>
      <c r="L390" s="9"/>
      <c r="M390" s="10">
        <v>7</v>
      </c>
    </row>
    <row r="391" spans="1:13" ht="11.85" customHeight="1" outlineLevel="3">
      <c r="A391" s="7"/>
      <c r="B391" s="8"/>
      <c r="C391" s="6"/>
      <c r="D391" s="6" t="s">
        <v>353</v>
      </c>
      <c r="E391" s="5">
        <v>131</v>
      </c>
      <c r="F391" s="701" t="s">
        <v>759</v>
      </c>
      <c r="G391" s="701"/>
      <c r="H391" s="6"/>
      <c r="I391" s="6"/>
      <c r="J391" s="6"/>
      <c r="K391" s="9"/>
      <c r="L391" s="9"/>
      <c r="M391" s="10">
        <v>312</v>
      </c>
    </row>
    <row r="392" spans="1:13" ht="11.85" customHeight="1" outlineLevel="3">
      <c r="A392" s="7"/>
      <c r="B392" s="8"/>
      <c r="C392" s="6"/>
      <c r="D392" s="6" t="s">
        <v>354</v>
      </c>
      <c r="E392" s="5">
        <v>122</v>
      </c>
      <c r="F392" s="701" t="s">
        <v>760</v>
      </c>
      <c r="G392" s="701"/>
      <c r="H392" s="6"/>
      <c r="I392" s="6"/>
      <c r="J392" s="6"/>
      <c r="K392" s="9"/>
      <c r="L392" s="9"/>
      <c r="M392" s="10">
        <v>278</v>
      </c>
    </row>
    <row r="393" spans="1:13" ht="11.85" customHeight="1" outlineLevel="3">
      <c r="A393" s="7"/>
      <c r="B393" s="8"/>
      <c r="C393" s="6"/>
      <c r="D393" s="6" t="s">
        <v>351</v>
      </c>
      <c r="E393" s="5">
        <v>36</v>
      </c>
      <c r="F393" s="701" t="s">
        <v>761</v>
      </c>
      <c r="G393" s="701"/>
      <c r="H393" s="6"/>
      <c r="I393" s="6"/>
      <c r="J393" s="6"/>
      <c r="K393" s="9"/>
      <c r="L393" s="9"/>
      <c r="M393" s="10">
        <v>194</v>
      </c>
    </row>
    <row r="394" spans="1:13" ht="11.85" customHeight="1" outlineLevel="3">
      <c r="A394" s="7"/>
      <c r="B394" s="8"/>
      <c r="C394" s="6"/>
      <c r="D394" s="6" t="s">
        <v>355</v>
      </c>
      <c r="E394" s="5">
        <v>139</v>
      </c>
      <c r="F394" s="701" t="s">
        <v>762</v>
      </c>
      <c r="G394" s="701"/>
      <c r="H394" s="6"/>
      <c r="I394" s="6"/>
      <c r="J394" s="6"/>
      <c r="K394" s="9"/>
      <c r="L394" s="9"/>
      <c r="M394" s="10">
        <v>141</v>
      </c>
    </row>
    <row r="395" spans="1:13" ht="11.85" customHeight="1" outlineLevel="3">
      <c r="A395" s="7"/>
      <c r="B395" s="8"/>
      <c r="C395" s="6"/>
      <c r="D395" s="6" t="s">
        <v>356</v>
      </c>
      <c r="E395" s="5">
        <v>11</v>
      </c>
      <c r="F395" s="701" t="s">
        <v>763</v>
      </c>
      <c r="G395" s="701"/>
      <c r="H395" s="6"/>
      <c r="I395" s="6"/>
      <c r="J395" s="6"/>
      <c r="K395" s="9"/>
      <c r="L395" s="9"/>
      <c r="M395" s="10">
        <v>80</v>
      </c>
    </row>
    <row r="396" spans="1:13" ht="11.85" customHeight="1" outlineLevel="3">
      <c r="A396" s="7"/>
      <c r="B396" s="8"/>
      <c r="C396" s="6"/>
      <c r="D396" s="6" t="s">
        <v>357</v>
      </c>
      <c r="E396" s="5">
        <v>136</v>
      </c>
      <c r="F396" s="701" t="s">
        <v>764</v>
      </c>
      <c r="G396" s="701"/>
      <c r="H396" s="6"/>
      <c r="I396" s="6"/>
      <c r="J396" s="6"/>
      <c r="K396" s="9"/>
      <c r="L396" s="9"/>
      <c r="M396" s="10">
        <v>189</v>
      </c>
    </row>
    <row r="397" spans="1:13" ht="11.85" customHeight="1" outlineLevel="3">
      <c r="A397" s="7"/>
      <c r="B397" s="8"/>
      <c r="C397" s="6"/>
      <c r="D397" s="6" t="s">
        <v>297</v>
      </c>
      <c r="E397" s="5">
        <v>99</v>
      </c>
      <c r="F397" s="701" t="s">
        <v>765</v>
      </c>
      <c r="G397" s="701"/>
      <c r="H397" s="6"/>
      <c r="I397" s="6"/>
      <c r="J397" s="6"/>
      <c r="K397" s="9"/>
      <c r="L397" s="9"/>
      <c r="M397" s="10">
        <v>27</v>
      </c>
    </row>
    <row r="398" spans="1:13" ht="11.85" customHeight="1" outlineLevel="3">
      <c r="A398" s="7"/>
      <c r="B398" s="8"/>
      <c r="C398" s="6"/>
      <c r="D398" s="6" t="s">
        <v>341</v>
      </c>
      <c r="E398" s="5">
        <v>144</v>
      </c>
      <c r="F398" s="701" t="s">
        <v>766</v>
      </c>
      <c r="G398" s="701"/>
      <c r="H398" s="6"/>
      <c r="I398" s="6"/>
      <c r="J398" s="6"/>
      <c r="K398" s="9"/>
      <c r="L398" s="9"/>
      <c r="M398" s="10">
        <v>254</v>
      </c>
    </row>
    <row r="399" spans="1:13" ht="11.85" customHeight="1" outlineLevel="3">
      <c r="A399" s="7"/>
      <c r="B399" s="8"/>
      <c r="C399" s="6"/>
      <c r="D399" s="6" t="s">
        <v>253</v>
      </c>
      <c r="E399" s="5">
        <v>90</v>
      </c>
      <c r="F399" s="701" t="s">
        <v>767</v>
      </c>
      <c r="G399" s="701"/>
      <c r="H399" s="6"/>
      <c r="I399" s="6"/>
      <c r="J399" s="6"/>
      <c r="K399" s="9"/>
      <c r="L399" s="9"/>
      <c r="M399" s="10">
        <v>16</v>
      </c>
    </row>
    <row r="400" spans="1:13" ht="11.85" customHeight="1" outlineLevel="3">
      <c r="A400" s="7"/>
      <c r="B400" s="8"/>
      <c r="C400" s="6"/>
      <c r="D400" s="6" t="s">
        <v>358</v>
      </c>
      <c r="E400" s="5">
        <v>101</v>
      </c>
      <c r="F400" s="701" t="s">
        <v>768</v>
      </c>
      <c r="G400" s="701"/>
      <c r="H400" s="6"/>
      <c r="I400" s="6"/>
      <c r="J400" s="6"/>
      <c r="K400" s="9"/>
      <c r="L400" s="9"/>
      <c r="M400" s="10">
        <v>30</v>
      </c>
    </row>
    <row r="401" spans="1:13" ht="11.85" customHeight="1" outlineLevel="3">
      <c r="A401" s="7"/>
      <c r="B401" s="8"/>
      <c r="C401" s="6"/>
      <c r="D401" s="6" t="s">
        <v>359</v>
      </c>
      <c r="E401" s="5">
        <v>101</v>
      </c>
      <c r="F401" s="701" t="s">
        <v>769</v>
      </c>
      <c r="G401" s="701"/>
      <c r="H401" s="6"/>
      <c r="I401" s="6"/>
      <c r="J401" s="6"/>
      <c r="K401" s="9"/>
      <c r="L401" s="9"/>
      <c r="M401" s="10">
        <v>177</v>
      </c>
    </row>
    <row r="402" spans="1:13" ht="11.85" customHeight="1" outlineLevel="3">
      <c r="A402" s="7"/>
      <c r="B402" s="8"/>
      <c r="C402" s="6"/>
      <c r="D402" s="6" t="s">
        <v>360</v>
      </c>
      <c r="E402" s="5">
        <v>101</v>
      </c>
      <c r="F402" s="701" t="s">
        <v>770</v>
      </c>
      <c r="G402" s="701"/>
      <c r="H402" s="6"/>
      <c r="I402" s="6"/>
      <c r="J402" s="6"/>
      <c r="K402" s="9"/>
      <c r="L402" s="9"/>
      <c r="M402" s="10">
        <v>164</v>
      </c>
    </row>
    <row r="403" spans="1:13" ht="11.85" customHeight="1" outlineLevel="3">
      <c r="A403" s="7"/>
      <c r="B403" s="8"/>
      <c r="C403" s="6"/>
      <c r="D403" s="6" t="s">
        <v>361</v>
      </c>
      <c r="E403" s="5">
        <v>99</v>
      </c>
      <c r="F403" s="701" t="s">
        <v>771</v>
      </c>
      <c r="G403" s="701"/>
      <c r="H403" s="6"/>
      <c r="I403" s="6"/>
      <c r="J403" s="6"/>
      <c r="K403" s="9"/>
      <c r="L403" s="9"/>
      <c r="M403" s="10">
        <v>62</v>
      </c>
    </row>
    <row r="404" spans="1:13" ht="11.85" customHeight="1" outlineLevel="3">
      <c r="A404" s="7"/>
      <c r="B404" s="8"/>
      <c r="C404" s="6"/>
      <c r="D404" s="6" t="s">
        <v>297</v>
      </c>
      <c r="E404" s="5">
        <v>99</v>
      </c>
      <c r="F404" s="701" t="s">
        <v>772</v>
      </c>
      <c r="G404" s="701"/>
      <c r="H404" s="6"/>
      <c r="I404" s="6"/>
      <c r="J404" s="6"/>
      <c r="K404" s="9"/>
      <c r="L404" s="9"/>
      <c r="M404" s="10">
        <v>52</v>
      </c>
    </row>
    <row r="405" spans="1:13" ht="11.85" customHeight="1" outlineLevel="3">
      <c r="A405" s="7"/>
      <c r="B405" s="8"/>
      <c r="C405" s="6"/>
      <c r="D405" s="6" t="s">
        <v>168</v>
      </c>
      <c r="E405" s="5">
        <v>62</v>
      </c>
      <c r="F405" s="701" t="s">
        <v>773</v>
      </c>
      <c r="G405" s="701"/>
      <c r="H405" s="6"/>
      <c r="I405" s="6"/>
      <c r="J405" s="6"/>
      <c r="K405" s="9"/>
      <c r="L405" s="9"/>
      <c r="M405" s="10">
        <v>370</v>
      </c>
    </row>
    <row r="406" spans="1:13" ht="11.85" customHeight="1" outlineLevel="3">
      <c r="A406" s="7"/>
      <c r="B406" s="8"/>
      <c r="C406" s="6"/>
      <c r="D406" s="6" t="s">
        <v>321</v>
      </c>
      <c r="E406" s="5">
        <v>27</v>
      </c>
      <c r="F406" s="701" t="s">
        <v>774</v>
      </c>
      <c r="G406" s="701"/>
      <c r="H406" s="6"/>
      <c r="I406" s="6"/>
      <c r="J406" s="6"/>
      <c r="K406" s="9"/>
      <c r="L406" s="9"/>
      <c r="M406" s="10">
        <v>121</v>
      </c>
    </row>
    <row r="407" spans="1:13" ht="11.85" customHeight="1" outlineLevel="3">
      <c r="A407" s="7"/>
      <c r="B407" s="8"/>
      <c r="C407" s="6"/>
      <c r="D407" s="6" t="s">
        <v>331</v>
      </c>
      <c r="E407" s="5">
        <v>61</v>
      </c>
      <c r="F407" s="701" t="s">
        <v>775</v>
      </c>
      <c r="G407" s="701"/>
      <c r="H407" s="6"/>
      <c r="I407" s="6"/>
      <c r="J407" s="6"/>
      <c r="K407" s="9"/>
      <c r="L407" s="9"/>
      <c r="M407" s="10">
        <v>265</v>
      </c>
    </row>
    <row r="408" spans="1:13" ht="11.85" customHeight="1" outlineLevel="3">
      <c r="A408" s="7"/>
      <c r="B408" s="8"/>
      <c r="C408" s="6"/>
      <c r="D408" s="6" t="s">
        <v>298</v>
      </c>
      <c r="E408" s="5">
        <v>97</v>
      </c>
      <c r="F408" s="701" t="s">
        <v>776</v>
      </c>
      <c r="G408" s="701"/>
      <c r="H408" s="6"/>
      <c r="I408" s="6"/>
      <c r="J408" s="6"/>
      <c r="K408" s="9"/>
      <c r="L408" s="9"/>
      <c r="M408" s="10">
        <v>14</v>
      </c>
    </row>
    <row r="409" spans="1:13" ht="11.85" customHeight="1" outlineLevel="3">
      <c r="A409" s="7"/>
      <c r="B409" s="8"/>
      <c r="C409" s="6"/>
      <c r="D409" s="6" t="s">
        <v>89</v>
      </c>
      <c r="E409" s="5">
        <v>99</v>
      </c>
      <c r="F409" s="701" t="s">
        <v>777</v>
      </c>
      <c r="G409" s="701"/>
      <c r="H409" s="6"/>
      <c r="I409" s="6"/>
      <c r="J409" s="6"/>
      <c r="K409" s="9"/>
      <c r="L409" s="9"/>
      <c r="M409" s="10">
        <v>54</v>
      </c>
    </row>
    <row r="410" spans="1:13" ht="11.85" customHeight="1" outlineLevel="3">
      <c r="A410" s="7"/>
      <c r="B410" s="8"/>
      <c r="C410" s="6"/>
      <c r="D410" s="6" t="s">
        <v>224</v>
      </c>
      <c r="E410" s="5">
        <v>103</v>
      </c>
      <c r="F410" s="701" t="s">
        <v>778</v>
      </c>
      <c r="G410" s="701"/>
      <c r="H410" s="6"/>
      <c r="I410" s="6"/>
      <c r="J410" s="6"/>
      <c r="K410" s="9"/>
      <c r="L410" s="9"/>
      <c r="M410" s="10">
        <v>14</v>
      </c>
    </row>
    <row r="411" spans="1:13" ht="11.85" customHeight="1" outlineLevel="3">
      <c r="A411" s="7"/>
      <c r="B411" s="8"/>
      <c r="C411" s="6"/>
      <c r="D411" s="6" t="s">
        <v>364</v>
      </c>
      <c r="E411" s="5">
        <v>46</v>
      </c>
      <c r="F411" s="701" t="s">
        <v>779</v>
      </c>
      <c r="G411" s="701"/>
      <c r="H411" s="6"/>
      <c r="I411" s="6"/>
      <c r="J411" s="6"/>
      <c r="K411" s="9"/>
      <c r="L411" s="9"/>
      <c r="M411" s="9"/>
    </row>
    <row r="412" spans="1:13" ht="11.85" customHeight="1" outlineLevel="3">
      <c r="A412" s="7"/>
      <c r="B412" s="8"/>
      <c r="C412" s="6"/>
      <c r="D412" s="6" t="s">
        <v>343</v>
      </c>
      <c r="E412" s="5">
        <v>126</v>
      </c>
      <c r="F412" s="701" t="s">
        <v>780</v>
      </c>
      <c r="G412" s="701"/>
      <c r="H412" s="6"/>
      <c r="I412" s="6"/>
      <c r="J412" s="6"/>
      <c r="K412" s="9"/>
      <c r="L412" s="9"/>
      <c r="M412" s="9"/>
    </row>
    <row r="413" spans="1:13" ht="11.85" customHeight="1" outlineLevel="3">
      <c r="A413" s="7"/>
      <c r="B413" s="8"/>
      <c r="C413" s="6"/>
      <c r="D413" s="6" t="s">
        <v>67</v>
      </c>
      <c r="E413" s="5">
        <v>83</v>
      </c>
      <c r="F413" s="701" t="s">
        <v>781</v>
      </c>
      <c r="G413" s="701"/>
      <c r="H413" s="6"/>
      <c r="I413" s="6"/>
      <c r="J413" s="6"/>
      <c r="K413" s="9"/>
      <c r="L413" s="9"/>
      <c r="M413" s="9"/>
    </row>
    <row r="414" spans="1:13" ht="11.85" customHeight="1" outlineLevel="3">
      <c r="A414" s="7"/>
      <c r="B414" s="8"/>
      <c r="C414" s="6"/>
      <c r="D414" s="6" t="s">
        <v>273</v>
      </c>
      <c r="E414" s="5">
        <v>80</v>
      </c>
      <c r="F414" s="701" t="s">
        <v>782</v>
      </c>
      <c r="G414" s="701"/>
      <c r="H414" s="6"/>
      <c r="I414" s="6"/>
      <c r="J414" s="6"/>
      <c r="K414" s="9"/>
      <c r="L414" s="9"/>
      <c r="M414" s="9"/>
    </row>
    <row r="415" spans="1:13" ht="11.85" customHeight="1" outlineLevel="3">
      <c r="A415" s="7"/>
      <c r="B415" s="8"/>
      <c r="C415" s="6"/>
      <c r="D415" s="6" t="s">
        <v>365</v>
      </c>
      <c r="E415" s="5">
        <v>162</v>
      </c>
      <c r="F415" s="701" t="s">
        <v>783</v>
      </c>
      <c r="G415" s="701"/>
      <c r="H415" s="6"/>
      <c r="I415" s="6"/>
      <c r="J415" s="6"/>
      <c r="K415" s="9"/>
      <c r="L415" s="9"/>
      <c r="M415" s="9"/>
    </row>
    <row r="416" spans="1:13" ht="11.85" customHeight="1" outlineLevel="3">
      <c r="A416" s="7"/>
      <c r="B416" s="8"/>
      <c r="C416" s="6"/>
      <c r="D416" s="6" t="s">
        <v>232</v>
      </c>
      <c r="E416" s="5">
        <v>111</v>
      </c>
      <c r="F416" s="701" t="s">
        <v>784</v>
      </c>
      <c r="G416" s="701"/>
      <c r="H416" s="6"/>
      <c r="I416" s="6"/>
      <c r="J416" s="6"/>
      <c r="K416" s="9"/>
      <c r="L416" s="9"/>
      <c r="M416" s="9"/>
    </row>
    <row r="417" spans="1:13" ht="11.85" customHeight="1" outlineLevel="3">
      <c r="A417" s="7"/>
      <c r="B417" s="8"/>
      <c r="C417" s="6"/>
      <c r="D417" s="6" t="s">
        <v>367</v>
      </c>
      <c r="E417" s="5">
        <v>57</v>
      </c>
      <c r="F417" s="701" t="s">
        <v>785</v>
      </c>
      <c r="G417" s="701"/>
      <c r="H417" s="6"/>
      <c r="I417" s="6"/>
      <c r="J417" s="6"/>
      <c r="K417" s="9"/>
      <c r="L417" s="9"/>
      <c r="M417" s="9"/>
    </row>
    <row r="418" spans="1:13" ht="11.85" customHeight="1" outlineLevel="3">
      <c r="A418" s="7"/>
      <c r="B418" s="8"/>
      <c r="C418" s="6"/>
      <c r="D418" s="6" t="s">
        <v>368</v>
      </c>
      <c r="E418" s="5">
        <v>86</v>
      </c>
      <c r="F418" s="701" t="s">
        <v>786</v>
      </c>
      <c r="G418" s="701"/>
      <c r="H418" s="6"/>
      <c r="I418" s="6"/>
      <c r="J418" s="6"/>
      <c r="K418" s="9"/>
      <c r="L418" s="9"/>
      <c r="M418" s="9"/>
    </row>
    <row r="419" spans="1:13" ht="11.85" customHeight="1" outlineLevel="3">
      <c r="A419" s="7"/>
      <c r="B419" s="8"/>
      <c r="C419" s="6"/>
      <c r="D419" s="6" t="s">
        <v>369</v>
      </c>
      <c r="E419" s="5">
        <v>72</v>
      </c>
      <c r="F419" s="701" t="s">
        <v>787</v>
      </c>
      <c r="G419" s="701"/>
      <c r="H419" s="6"/>
      <c r="I419" s="6"/>
      <c r="J419" s="6"/>
      <c r="K419" s="9"/>
      <c r="L419" s="9"/>
      <c r="M419" s="9"/>
    </row>
    <row r="420" spans="1:13" ht="11.85" customHeight="1" outlineLevel="3">
      <c r="A420" s="7"/>
      <c r="B420" s="8"/>
      <c r="C420" s="6"/>
      <c r="D420" s="6" t="s">
        <v>370</v>
      </c>
      <c r="E420" s="5">
        <v>72</v>
      </c>
      <c r="F420" s="701" t="s">
        <v>788</v>
      </c>
      <c r="G420" s="701"/>
      <c r="H420" s="6"/>
      <c r="I420" s="6"/>
      <c r="J420" s="6"/>
      <c r="K420" s="9"/>
      <c r="L420" s="9"/>
      <c r="M420" s="9"/>
    </row>
    <row r="421" spans="1:13" ht="11.85" customHeight="1" outlineLevel="3">
      <c r="A421" s="7"/>
      <c r="B421" s="8"/>
      <c r="C421" s="6"/>
      <c r="D421" s="6" t="s">
        <v>371</v>
      </c>
      <c r="E421" s="5">
        <v>37</v>
      </c>
      <c r="F421" s="701" t="s">
        <v>789</v>
      </c>
      <c r="G421" s="701"/>
      <c r="H421" s="6"/>
      <c r="I421" s="6"/>
      <c r="J421" s="6"/>
      <c r="K421" s="9"/>
      <c r="L421" s="9"/>
      <c r="M421" s="9"/>
    </row>
    <row r="422" spans="1:13" ht="11.85" customHeight="1" outlineLevel="3">
      <c r="A422" s="7"/>
      <c r="B422" s="8"/>
      <c r="C422" s="6"/>
      <c r="D422" s="6" t="s">
        <v>372</v>
      </c>
      <c r="E422" s="5">
        <v>94</v>
      </c>
      <c r="F422" s="701" t="s">
        <v>790</v>
      </c>
      <c r="G422" s="701"/>
      <c r="H422" s="6"/>
      <c r="I422" s="6"/>
      <c r="J422" s="6"/>
      <c r="K422" s="9"/>
      <c r="L422" s="9"/>
      <c r="M422" s="9"/>
    </row>
    <row r="423" spans="1:13" ht="11.85" customHeight="1" outlineLevel="3">
      <c r="A423" s="7"/>
      <c r="B423" s="8"/>
      <c r="C423" s="6"/>
      <c r="D423" s="6" t="s">
        <v>320</v>
      </c>
      <c r="E423" s="5">
        <v>142</v>
      </c>
      <c r="F423" s="701" t="s">
        <v>791</v>
      </c>
      <c r="G423" s="701"/>
      <c r="H423" s="6"/>
      <c r="I423" s="6"/>
      <c r="J423" s="6"/>
      <c r="K423" s="9"/>
      <c r="L423" s="9"/>
      <c r="M423" s="9"/>
    </row>
    <row r="424" spans="1:13" ht="11.85" customHeight="1" outlineLevel="3">
      <c r="A424" s="7"/>
      <c r="B424" s="8"/>
      <c r="C424" s="6"/>
      <c r="D424" s="6" t="s">
        <v>345</v>
      </c>
      <c r="E424" s="5">
        <v>133</v>
      </c>
      <c r="F424" s="701" t="s">
        <v>792</v>
      </c>
      <c r="G424" s="701"/>
      <c r="H424" s="6"/>
      <c r="I424" s="6"/>
      <c r="J424" s="6"/>
      <c r="K424" s="9"/>
      <c r="L424" s="9"/>
      <c r="M424" s="9"/>
    </row>
    <row r="425" spans="1:13" ht="11.85" customHeight="1" outlineLevel="3">
      <c r="A425" s="7"/>
      <c r="B425" s="8"/>
      <c r="C425" s="6"/>
      <c r="D425" s="6" t="s">
        <v>346</v>
      </c>
      <c r="E425" s="5">
        <v>35</v>
      </c>
      <c r="F425" s="701" t="s">
        <v>793</v>
      </c>
      <c r="G425" s="701"/>
      <c r="H425" s="6"/>
      <c r="I425" s="6"/>
      <c r="J425" s="6"/>
      <c r="K425" s="9"/>
      <c r="L425" s="9"/>
      <c r="M425" s="9"/>
    </row>
    <row r="426" spans="1:13" ht="11.85" customHeight="1" outlineLevel="3">
      <c r="A426" s="7"/>
      <c r="B426" s="8"/>
      <c r="C426" s="6"/>
      <c r="D426" s="6" t="s">
        <v>342</v>
      </c>
      <c r="E426" s="5">
        <v>34</v>
      </c>
      <c r="F426" s="701" t="s">
        <v>794</v>
      </c>
      <c r="G426" s="701"/>
      <c r="H426" s="6"/>
      <c r="I426" s="6"/>
      <c r="J426" s="6"/>
      <c r="K426" s="9"/>
      <c r="L426" s="9"/>
      <c r="M426" s="9"/>
    </row>
    <row r="427" spans="1:13" ht="11.85" customHeight="1" outlineLevel="3">
      <c r="A427" s="7"/>
      <c r="B427" s="8"/>
      <c r="C427" s="6"/>
      <c r="D427" s="6" t="s">
        <v>183</v>
      </c>
      <c r="E427" s="5">
        <v>63</v>
      </c>
      <c r="F427" s="701" t="s">
        <v>795</v>
      </c>
      <c r="G427" s="701"/>
      <c r="H427" s="6"/>
      <c r="I427" s="6"/>
      <c r="J427" s="6"/>
      <c r="K427" s="9"/>
      <c r="L427" s="9"/>
      <c r="M427" s="9"/>
    </row>
    <row r="428" spans="1:13" ht="11.85" customHeight="1" outlineLevel="3">
      <c r="A428" s="7"/>
      <c r="B428" s="8"/>
      <c r="C428" s="6"/>
      <c r="D428" s="6" t="s">
        <v>308</v>
      </c>
      <c r="E428" s="5">
        <v>68</v>
      </c>
      <c r="F428" s="701" t="s">
        <v>796</v>
      </c>
      <c r="G428" s="701"/>
      <c r="H428" s="6"/>
      <c r="I428" s="6"/>
      <c r="J428" s="6"/>
      <c r="K428" s="9"/>
      <c r="L428" s="9"/>
      <c r="M428" s="9"/>
    </row>
    <row r="429" spans="1:13" ht="11.85" customHeight="1" outlineLevel="3">
      <c r="A429" s="7"/>
      <c r="B429" s="8"/>
      <c r="C429" s="6"/>
      <c r="D429" s="6" t="s">
        <v>350</v>
      </c>
      <c r="E429" s="5">
        <v>121</v>
      </c>
      <c r="F429" s="701" t="s">
        <v>797</v>
      </c>
      <c r="G429" s="701"/>
      <c r="H429" s="6"/>
      <c r="I429" s="6"/>
      <c r="J429" s="6"/>
      <c r="K429" s="9"/>
      <c r="L429" s="9"/>
      <c r="M429" s="9"/>
    </row>
    <row r="430" spans="1:13" ht="11.85" customHeight="1" outlineLevel="3">
      <c r="A430" s="7"/>
      <c r="B430" s="8"/>
      <c r="C430" s="6"/>
      <c r="D430" s="6" t="s">
        <v>191</v>
      </c>
      <c r="E430" s="5">
        <v>34</v>
      </c>
      <c r="F430" s="701" t="s">
        <v>798</v>
      </c>
      <c r="G430" s="701"/>
      <c r="H430" s="6"/>
      <c r="I430" s="6"/>
      <c r="J430" s="6"/>
      <c r="K430" s="9"/>
      <c r="L430" s="9"/>
      <c r="M430" s="9"/>
    </row>
    <row r="431" spans="1:13" ht="11.85" customHeight="1" outlineLevel="3">
      <c r="A431" s="7"/>
      <c r="B431" s="8"/>
      <c r="C431" s="6"/>
      <c r="D431" s="6" t="s">
        <v>306</v>
      </c>
      <c r="E431" s="5">
        <v>124</v>
      </c>
      <c r="F431" s="701" t="s">
        <v>799</v>
      </c>
      <c r="G431" s="701"/>
      <c r="H431" s="6"/>
      <c r="I431" s="6"/>
      <c r="J431" s="6"/>
      <c r="K431" s="9"/>
      <c r="L431" s="9"/>
      <c r="M431" s="9"/>
    </row>
    <row r="432" spans="1:13" ht="11.85" customHeight="1" outlineLevel="3">
      <c r="A432" s="7"/>
      <c r="B432" s="8"/>
      <c r="C432" s="6"/>
      <c r="D432" s="6" t="s">
        <v>307</v>
      </c>
      <c r="E432" s="5">
        <v>125</v>
      </c>
      <c r="F432" s="701" t="s">
        <v>800</v>
      </c>
      <c r="G432" s="701"/>
      <c r="H432" s="6"/>
      <c r="I432" s="6"/>
      <c r="J432" s="6"/>
      <c r="K432" s="9"/>
      <c r="L432" s="9"/>
      <c r="M432" s="9"/>
    </row>
    <row r="433" spans="1:13" ht="11.85" customHeight="1" outlineLevel="3">
      <c r="A433" s="7"/>
      <c r="B433" s="8"/>
      <c r="C433" s="6"/>
      <c r="D433" s="6" t="s">
        <v>309</v>
      </c>
      <c r="E433" s="5">
        <v>72</v>
      </c>
      <c r="F433" s="701" t="s">
        <v>801</v>
      </c>
      <c r="G433" s="701"/>
      <c r="H433" s="6"/>
      <c r="I433" s="6"/>
      <c r="J433" s="6"/>
      <c r="K433" s="9"/>
      <c r="L433" s="9"/>
      <c r="M433" s="9"/>
    </row>
    <row r="434" spans="1:13" ht="11.85" customHeight="1" outlineLevel="3">
      <c r="A434" s="7"/>
      <c r="B434" s="8"/>
      <c r="C434" s="6"/>
      <c r="D434" s="6" t="s">
        <v>310</v>
      </c>
      <c r="E434" s="5">
        <v>47</v>
      </c>
      <c r="F434" s="701" t="s">
        <v>802</v>
      </c>
      <c r="G434" s="701"/>
      <c r="H434" s="6"/>
      <c r="I434" s="6"/>
      <c r="J434" s="6"/>
      <c r="K434" s="9"/>
      <c r="L434" s="9"/>
      <c r="M434" s="9"/>
    </row>
    <row r="435" spans="1:13" ht="11.85" customHeight="1" outlineLevel="3">
      <c r="A435" s="7"/>
      <c r="B435" s="8"/>
      <c r="C435" s="6"/>
      <c r="D435" s="6" t="s">
        <v>311</v>
      </c>
      <c r="E435" s="5">
        <v>89</v>
      </c>
      <c r="F435" s="701" t="s">
        <v>803</v>
      </c>
      <c r="G435" s="701"/>
      <c r="H435" s="6"/>
      <c r="I435" s="6"/>
      <c r="J435" s="6"/>
      <c r="K435" s="9"/>
      <c r="L435" s="9"/>
      <c r="M435" s="9"/>
    </row>
    <row r="436" spans="1:13" ht="11.85" customHeight="1" outlineLevel="3">
      <c r="A436" s="7"/>
      <c r="B436" s="8"/>
      <c r="C436" s="6"/>
      <c r="D436" s="6" t="s">
        <v>312</v>
      </c>
      <c r="E436" s="5">
        <v>158</v>
      </c>
      <c r="F436" s="701" t="s">
        <v>804</v>
      </c>
      <c r="G436" s="701"/>
      <c r="H436" s="6"/>
      <c r="I436" s="6"/>
      <c r="J436" s="6"/>
      <c r="K436" s="9"/>
      <c r="L436" s="9"/>
      <c r="M436" s="9"/>
    </row>
    <row r="437" spans="1:13" ht="11.85" customHeight="1" outlineLevel="3">
      <c r="A437" s="7"/>
      <c r="B437" s="8"/>
      <c r="C437" s="6"/>
      <c r="D437" s="6" t="s">
        <v>313</v>
      </c>
      <c r="E437" s="5">
        <v>158</v>
      </c>
      <c r="F437" s="701" t="s">
        <v>805</v>
      </c>
      <c r="G437" s="701"/>
      <c r="H437" s="6"/>
      <c r="I437" s="6"/>
      <c r="J437" s="6"/>
      <c r="K437" s="9"/>
      <c r="L437" s="9"/>
      <c r="M437" s="9"/>
    </row>
    <row r="438" spans="1:13" ht="11.85" customHeight="1" outlineLevel="3">
      <c r="A438" s="7"/>
      <c r="B438" s="8"/>
      <c r="C438" s="6"/>
      <c r="D438" s="6" t="s">
        <v>67</v>
      </c>
      <c r="E438" s="5">
        <v>83</v>
      </c>
      <c r="F438" s="701" t="s">
        <v>806</v>
      </c>
      <c r="G438" s="701"/>
      <c r="H438" s="6"/>
      <c r="I438" s="6"/>
      <c r="J438" s="6"/>
      <c r="K438" s="9"/>
      <c r="L438" s="9"/>
      <c r="M438" s="9"/>
    </row>
    <row r="439" spans="1:13" ht="22.9" customHeight="1" outlineLevel="3">
      <c r="A439" s="7"/>
      <c r="B439" s="8"/>
      <c r="C439" s="6"/>
      <c r="D439" s="6" t="s">
        <v>319</v>
      </c>
      <c r="E439" s="5">
        <v>13</v>
      </c>
      <c r="F439" s="701" t="s">
        <v>807</v>
      </c>
      <c r="G439" s="701"/>
      <c r="H439" s="6"/>
      <c r="I439" s="6"/>
      <c r="J439" s="6"/>
      <c r="K439" s="9"/>
      <c r="L439" s="9"/>
      <c r="M439" s="9"/>
    </row>
    <row r="440" spans="1:13" ht="11.85" customHeight="1" outlineLevel="3">
      <c r="A440" s="7"/>
      <c r="B440" s="8"/>
      <c r="C440" s="6"/>
      <c r="D440" s="6" t="s">
        <v>337</v>
      </c>
      <c r="E440" s="5">
        <v>130</v>
      </c>
      <c r="F440" s="701" t="s">
        <v>808</v>
      </c>
      <c r="G440" s="701"/>
      <c r="H440" s="6"/>
      <c r="I440" s="6"/>
      <c r="J440" s="6"/>
      <c r="K440" s="9"/>
      <c r="L440" s="9"/>
      <c r="M440" s="9"/>
    </row>
    <row r="441" spans="1:13" ht="11.85" customHeight="1" outlineLevel="3">
      <c r="A441" s="7"/>
      <c r="B441" s="8"/>
      <c r="C441" s="6"/>
      <c r="D441" s="6" t="s">
        <v>336</v>
      </c>
      <c r="E441" s="5">
        <v>137</v>
      </c>
      <c r="F441" s="701" t="s">
        <v>809</v>
      </c>
      <c r="G441" s="701"/>
      <c r="H441" s="6"/>
      <c r="I441" s="6"/>
      <c r="J441" s="6"/>
      <c r="K441" s="9"/>
      <c r="L441" s="9"/>
      <c r="M441" s="9"/>
    </row>
    <row r="442" spans="1:13" ht="11.85" customHeight="1" outlineLevel="3">
      <c r="A442" s="7"/>
      <c r="B442" s="8"/>
      <c r="C442" s="6"/>
      <c r="D442" s="6" t="s">
        <v>243</v>
      </c>
      <c r="E442" s="5">
        <v>111</v>
      </c>
      <c r="F442" s="701" t="s">
        <v>810</v>
      </c>
      <c r="G442" s="701"/>
      <c r="H442" s="6"/>
      <c r="I442" s="6"/>
      <c r="J442" s="6"/>
      <c r="K442" s="9"/>
      <c r="L442" s="9"/>
      <c r="M442" s="9"/>
    </row>
    <row r="443" spans="1:13" ht="11.85" customHeight="1" outlineLevel="3">
      <c r="A443" s="7"/>
      <c r="B443" s="8"/>
      <c r="C443" s="6"/>
      <c r="D443" s="6" t="s">
        <v>338</v>
      </c>
      <c r="E443" s="5">
        <v>111</v>
      </c>
      <c r="F443" s="701" t="s">
        <v>717</v>
      </c>
      <c r="G443" s="701"/>
      <c r="H443" s="6"/>
      <c r="I443" s="6"/>
      <c r="J443" s="6"/>
      <c r="K443" s="9"/>
      <c r="L443" s="9"/>
      <c r="M443" s="9"/>
    </row>
    <row r="444" spans="1:13" ht="11.85" customHeight="1" outlineLevel="3">
      <c r="A444" s="7"/>
      <c r="B444" s="8"/>
      <c r="C444" s="6"/>
      <c r="D444" s="6" t="s">
        <v>300</v>
      </c>
      <c r="E444" s="5">
        <v>111</v>
      </c>
      <c r="F444" s="701" t="s">
        <v>811</v>
      </c>
      <c r="G444" s="701"/>
      <c r="H444" s="6"/>
      <c r="I444" s="6"/>
      <c r="J444" s="6"/>
      <c r="K444" s="9"/>
      <c r="L444" s="9"/>
      <c r="M444" s="9"/>
    </row>
    <row r="445" spans="1:13" ht="11.85" customHeight="1" outlineLevel="3">
      <c r="A445" s="7"/>
      <c r="B445" s="8"/>
      <c r="C445" s="6"/>
      <c r="D445" s="6" t="s">
        <v>339</v>
      </c>
      <c r="E445" s="5">
        <v>111</v>
      </c>
      <c r="F445" s="701" t="s">
        <v>812</v>
      </c>
      <c r="G445" s="701"/>
      <c r="H445" s="6"/>
      <c r="I445" s="6"/>
      <c r="J445" s="6"/>
      <c r="K445" s="9"/>
      <c r="L445" s="9"/>
      <c r="M445" s="9"/>
    </row>
    <row r="446" spans="1:13" ht="11.85" customHeight="1" outlineLevel="3">
      <c r="A446" s="7"/>
      <c r="B446" s="8"/>
      <c r="C446" s="6"/>
      <c r="D446" s="6" t="s">
        <v>340</v>
      </c>
      <c r="E446" s="5">
        <v>111</v>
      </c>
      <c r="F446" s="701" t="s">
        <v>813</v>
      </c>
      <c r="G446" s="701"/>
      <c r="H446" s="6"/>
      <c r="I446" s="6"/>
      <c r="J446" s="6"/>
      <c r="K446" s="9"/>
      <c r="L446" s="9"/>
      <c r="M446" s="9"/>
    </row>
  </sheetData>
  <mergeCells count="445">
    <mergeCell ref="F446:G446"/>
    <mergeCell ref="F440:G440"/>
    <mergeCell ref="F441:G441"/>
    <mergeCell ref="F442:G442"/>
    <mergeCell ref="F443:G443"/>
    <mergeCell ref="F444:G444"/>
    <mergeCell ref="F445:G445"/>
    <mergeCell ref="F434:G434"/>
    <mergeCell ref="F435:G435"/>
    <mergeCell ref="F436:G436"/>
    <mergeCell ref="F437:G437"/>
    <mergeCell ref="F438:G438"/>
    <mergeCell ref="F439:G439"/>
    <mergeCell ref="F428:G428"/>
    <mergeCell ref="F429:G429"/>
    <mergeCell ref="F430:G430"/>
    <mergeCell ref="F431:G431"/>
    <mergeCell ref="F432:G432"/>
    <mergeCell ref="F433:G433"/>
    <mergeCell ref="F422:G422"/>
    <mergeCell ref="F423:G423"/>
    <mergeCell ref="F424:G424"/>
    <mergeCell ref="F425:G425"/>
    <mergeCell ref="F426:G426"/>
    <mergeCell ref="F427:G427"/>
    <mergeCell ref="F416:G416"/>
    <mergeCell ref="F417:G417"/>
    <mergeCell ref="F418:G418"/>
    <mergeCell ref="F419:G419"/>
    <mergeCell ref="F420:G420"/>
    <mergeCell ref="F421:G421"/>
    <mergeCell ref="F410:G410"/>
    <mergeCell ref="F411:G411"/>
    <mergeCell ref="F412:G412"/>
    <mergeCell ref="F413:G413"/>
    <mergeCell ref="F414:G414"/>
    <mergeCell ref="F415:G415"/>
    <mergeCell ref="F404:G404"/>
    <mergeCell ref="F405:G405"/>
    <mergeCell ref="F406:G406"/>
    <mergeCell ref="F407:G407"/>
    <mergeCell ref="F408:G408"/>
    <mergeCell ref="F409:G409"/>
    <mergeCell ref="F398:G398"/>
    <mergeCell ref="F399:G399"/>
    <mergeCell ref="F400:G400"/>
    <mergeCell ref="F401:G401"/>
    <mergeCell ref="F402:G402"/>
    <mergeCell ref="F403:G403"/>
    <mergeCell ref="F392:G392"/>
    <mergeCell ref="F393:G393"/>
    <mergeCell ref="F394:G394"/>
    <mergeCell ref="F395:G395"/>
    <mergeCell ref="F396:G396"/>
    <mergeCell ref="F397:G397"/>
    <mergeCell ref="F386:G386"/>
    <mergeCell ref="F387:G387"/>
    <mergeCell ref="F388:G388"/>
    <mergeCell ref="F389:G389"/>
    <mergeCell ref="F390:G390"/>
    <mergeCell ref="F391:G391"/>
    <mergeCell ref="F380:G380"/>
    <mergeCell ref="F381:G381"/>
    <mergeCell ref="F382:G382"/>
    <mergeCell ref="F383:G383"/>
    <mergeCell ref="F384:G384"/>
    <mergeCell ref="F385:G385"/>
    <mergeCell ref="F374:G374"/>
    <mergeCell ref="F375:G375"/>
    <mergeCell ref="F376:G376"/>
    <mergeCell ref="F377:G377"/>
    <mergeCell ref="F378:G378"/>
    <mergeCell ref="F379:G379"/>
    <mergeCell ref="F368:G368"/>
    <mergeCell ref="F369:G369"/>
    <mergeCell ref="F370:G370"/>
    <mergeCell ref="F371:G371"/>
    <mergeCell ref="F372:G372"/>
    <mergeCell ref="A373:M373"/>
    <mergeCell ref="F362:G362"/>
    <mergeCell ref="F363:G363"/>
    <mergeCell ref="F364:G364"/>
    <mergeCell ref="F365:G365"/>
    <mergeCell ref="F366:G366"/>
    <mergeCell ref="F367:G367"/>
    <mergeCell ref="F356:G356"/>
    <mergeCell ref="F357:G357"/>
    <mergeCell ref="F358:G358"/>
    <mergeCell ref="F359:G359"/>
    <mergeCell ref="F360:G360"/>
    <mergeCell ref="F361:G361"/>
    <mergeCell ref="F350:G350"/>
    <mergeCell ref="F351:G351"/>
    <mergeCell ref="F352:G352"/>
    <mergeCell ref="F353:G353"/>
    <mergeCell ref="F354:G354"/>
    <mergeCell ref="F355:G355"/>
    <mergeCell ref="F344:G344"/>
    <mergeCell ref="A345:M345"/>
    <mergeCell ref="A346:M346"/>
    <mergeCell ref="F347:G347"/>
    <mergeCell ref="F348:G348"/>
    <mergeCell ref="F349:G349"/>
    <mergeCell ref="F338:G338"/>
    <mergeCell ref="F339:G339"/>
    <mergeCell ref="F340:G340"/>
    <mergeCell ref="F341:G341"/>
    <mergeCell ref="F342:G342"/>
    <mergeCell ref="F343:G343"/>
    <mergeCell ref="F332:G332"/>
    <mergeCell ref="F333:G333"/>
    <mergeCell ref="F334:G334"/>
    <mergeCell ref="F335:G335"/>
    <mergeCell ref="F336:G336"/>
    <mergeCell ref="F337:G337"/>
    <mergeCell ref="F326:G326"/>
    <mergeCell ref="F327:G327"/>
    <mergeCell ref="F328:G328"/>
    <mergeCell ref="F329:G329"/>
    <mergeCell ref="F330:G330"/>
    <mergeCell ref="F331:G331"/>
    <mergeCell ref="F320:G320"/>
    <mergeCell ref="F321:G321"/>
    <mergeCell ref="F322:G322"/>
    <mergeCell ref="F323:G323"/>
    <mergeCell ref="F324:G324"/>
    <mergeCell ref="F325:G325"/>
    <mergeCell ref="F314:G314"/>
    <mergeCell ref="F315:G315"/>
    <mergeCell ref="F316:G316"/>
    <mergeCell ref="F317:G317"/>
    <mergeCell ref="F318:G318"/>
    <mergeCell ref="F319:G319"/>
    <mergeCell ref="F308:G308"/>
    <mergeCell ref="F309:G309"/>
    <mergeCell ref="F310:G310"/>
    <mergeCell ref="F311:G311"/>
    <mergeCell ref="F312:G312"/>
    <mergeCell ref="F313:G313"/>
    <mergeCell ref="F302:G30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301:G301"/>
    <mergeCell ref="F290:G29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89:G289"/>
    <mergeCell ref="F278:G27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A276:M276"/>
    <mergeCell ref="F277:G277"/>
    <mergeCell ref="F266:G26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65:G265"/>
    <mergeCell ref="F254:G25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53:G253"/>
    <mergeCell ref="A242:M242"/>
    <mergeCell ref="A243:M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41:G241"/>
    <mergeCell ref="F230:G230"/>
    <mergeCell ref="F231:G231"/>
    <mergeCell ref="F232:G232"/>
    <mergeCell ref="F233:G233"/>
    <mergeCell ref="A234:M234"/>
    <mergeCell ref="F235:G235"/>
    <mergeCell ref="F224:G224"/>
    <mergeCell ref="F225:G225"/>
    <mergeCell ref="F226:G226"/>
    <mergeCell ref="F227:G227"/>
    <mergeCell ref="F228:G228"/>
    <mergeCell ref="F229:G229"/>
    <mergeCell ref="A218:M21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17:G217"/>
    <mergeCell ref="F206:G20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205:G205"/>
    <mergeCell ref="F194:G194"/>
    <mergeCell ref="F195:G195"/>
    <mergeCell ref="A196:M196"/>
    <mergeCell ref="A197:M197"/>
    <mergeCell ref="F198:G198"/>
    <mergeCell ref="F199:G199"/>
    <mergeCell ref="F188:G188"/>
    <mergeCell ref="F189:G189"/>
    <mergeCell ref="F190:G190"/>
    <mergeCell ref="F191:G191"/>
    <mergeCell ref="F192:G192"/>
    <mergeCell ref="F193:G193"/>
    <mergeCell ref="F182:G18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81:G181"/>
    <mergeCell ref="F170:G17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A167:M167"/>
    <mergeCell ref="F168:G168"/>
    <mergeCell ref="F169:G169"/>
    <mergeCell ref="F158:G158"/>
    <mergeCell ref="F159:G159"/>
    <mergeCell ref="F160:G160"/>
    <mergeCell ref="A161:M161"/>
    <mergeCell ref="F162:G162"/>
    <mergeCell ref="F163:G163"/>
    <mergeCell ref="F152:G152"/>
    <mergeCell ref="F153:G153"/>
    <mergeCell ref="F154:G154"/>
    <mergeCell ref="F155:G155"/>
    <mergeCell ref="F156:G156"/>
    <mergeCell ref="F157:G157"/>
    <mergeCell ref="A146:M146"/>
    <mergeCell ref="A147:M147"/>
    <mergeCell ref="F148:G148"/>
    <mergeCell ref="F149:G149"/>
    <mergeCell ref="F150:G150"/>
    <mergeCell ref="F151:G151"/>
    <mergeCell ref="F140:G140"/>
    <mergeCell ref="F141:G141"/>
    <mergeCell ref="A142:M142"/>
    <mergeCell ref="F143:G143"/>
    <mergeCell ref="F144:G144"/>
    <mergeCell ref="F145:G145"/>
    <mergeCell ref="F134:G13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33:G133"/>
    <mergeCell ref="F122:G122"/>
    <mergeCell ref="F123:G123"/>
    <mergeCell ref="F124:G124"/>
    <mergeCell ref="F125:G125"/>
    <mergeCell ref="F126:G126"/>
    <mergeCell ref="F127:G127"/>
    <mergeCell ref="F116:G116"/>
    <mergeCell ref="F117:G117"/>
    <mergeCell ref="A118:M118"/>
    <mergeCell ref="F119:G119"/>
    <mergeCell ref="F120:G120"/>
    <mergeCell ref="F121:G121"/>
    <mergeCell ref="F110:G11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109:G109"/>
    <mergeCell ref="F98:G98"/>
    <mergeCell ref="F99:G99"/>
    <mergeCell ref="F100:G100"/>
    <mergeCell ref="F101:G101"/>
    <mergeCell ref="F102:G102"/>
    <mergeCell ref="F103:G103"/>
    <mergeCell ref="A92:M92"/>
    <mergeCell ref="F93:G93"/>
    <mergeCell ref="F94:G94"/>
    <mergeCell ref="F95:G95"/>
    <mergeCell ref="F96:G96"/>
    <mergeCell ref="F97:G97"/>
    <mergeCell ref="F86:G86"/>
    <mergeCell ref="F87:G87"/>
    <mergeCell ref="F88:G88"/>
    <mergeCell ref="F89:G89"/>
    <mergeCell ref="F90:G90"/>
    <mergeCell ref="A91:M91"/>
    <mergeCell ref="F80:G80"/>
    <mergeCell ref="F81:G81"/>
    <mergeCell ref="F82:G82"/>
    <mergeCell ref="F83:G83"/>
    <mergeCell ref="F84:G84"/>
    <mergeCell ref="F85:G85"/>
    <mergeCell ref="F74:G7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73:G73"/>
    <mergeCell ref="F62:G6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61:G61"/>
    <mergeCell ref="F50:G5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A49:M49"/>
    <mergeCell ref="F38:G3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37:G37"/>
    <mergeCell ref="F26:G2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25:G25"/>
    <mergeCell ref="F14:G14"/>
    <mergeCell ref="F15:G15"/>
    <mergeCell ref="F16:G16"/>
    <mergeCell ref="F17:G17"/>
    <mergeCell ref="F18:G18"/>
    <mergeCell ref="F19:G19"/>
    <mergeCell ref="A8:M8"/>
    <mergeCell ref="A9:M9"/>
    <mergeCell ref="A10:M10"/>
    <mergeCell ref="F11:G11"/>
    <mergeCell ref="F12:G12"/>
    <mergeCell ref="F13:G13"/>
    <mergeCell ref="A2:M2"/>
    <mergeCell ref="A4:M4"/>
    <mergeCell ref="A5:M5"/>
    <mergeCell ref="A6:M6"/>
    <mergeCell ref="A7:B7"/>
    <mergeCell ref="F7:G7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/>
  <dimension ref="A1:N3"/>
  <sheetViews>
    <sheetView topLeftCell="C1" workbookViewId="0">
      <selection activeCell="E17" sqref="E17"/>
    </sheetView>
  </sheetViews>
  <sheetFormatPr defaultColWidth="8.85546875" defaultRowHeight="12.75"/>
  <cols>
    <col min="1" max="1" width="38" style="25" customWidth="1"/>
    <col min="2" max="2" width="17.28515625" style="25" customWidth="1"/>
    <col min="3" max="3" width="53.5703125" style="25" customWidth="1"/>
    <col min="4" max="4" width="15.140625" style="25" customWidth="1"/>
    <col min="5" max="5" width="25.85546875" style="25" customWidth="1"/>
    <col min="6" max="6" width="14.7109375" style="25" customWidth="1"/>
    <col min="7" max="7" width="27.42578125" style="25" customWidth="1"/>
    <col min="8" max="8" width="23.140625" style="25" customWidth="1"/>
    <col min="9" max="9" width="9.5703125" style="25" customWidth="1"/>
    <col min="10" max="11" width="8.85546875" style="25"/>
    <col min="12" max="12" width="10.85546875" style="25" customWidth="1"/>
    <col min="13" max="16384" width="8.85546875" style="25"/>
  </cols>
  <sheetData>
    <row r="1" spans="1:14">
      <c r="A1" s="25" t="s">
        <v>16</v>
      </c>
      <c r="B1" s="25" t="s">
        <v>987</v>
      </c>
      <c r="C1" s="25" t="s">
        <v>1266</v>
      </c>
      <c r="D1" s="25" t="s">
        <v>1265</v>
      </c>
      <c r="E1" s="25" t="s">
        <v>1267</v>
      </c>
      <c r="F1" s="25" t="s">
        <v>1268</v>
      </c>
      <c r="G1" s="25" t="s">
        <v>1222</v>
      </c>
      <c r="H1" s="25" t="s">
        <v>1264</v>
      </c>
      <c r="I1" s="25" t="s">
        <v>934</v>
      </c>
      <c r="J1" s="25" t="s">
        <v>935</v>
      </c>
      <c r="K1" s="25" t="s">
        <v>936</v>
      </c>
      <c r="L1" s="25" t="s">
        <v>937</v>
      </c>
      <c r="M1" s="25" t="s">
        <v>988</v>
      </c>
      <c r="N1" s="25" t="s">
        <v>1260</v>
      </c>
    </row>
    <row r="2" spans="1:14" ht="15.75">
      <c r="A2" s="25" t="s">
        <v>11</v>
      </c>
      <c r="B2" s="43" t="s">
        <v>989</v>
      </c>
      <c r="C2" s="45" t="s">
        <v>990</v>
      </c>
      <c r="D2" s="43" t="s">
        <v>942</v>
      </c>
      <c r="E2" s="45" t="s">
        <v>991</v>
      </c>
      <c r="F2" s="48" t="s">
        <v>992</v>
      </c>
      <c r="G2" s="45" t="s">
        <v>993</v>
      </c>
      <c r="H2" s="49" t="s">
        <v>944</v>
      </c>
      <c r="I2" s="45" t="s">
        <v>1261</v>
      </c>
      <c r="K2" s="45" t="s">
        <v>1262</v>
      </c>
      <c r="L2" s="140" t="s">
        <v>994</v>
      </c>
      <c r="M2" s="45" t="s">
        <v>995</v>
      </c>
      <c r="N2" s="141" t="s">
        <v>1263</v>
      </c>
    </row>
    <row r="3" spans="1:14">
      <c r="K3" s="46" t="s">
        <v>996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4"/>
  <sheetViews>
    <sheetView workbookViewId="0">
      <selection activeCell="B3" sqref="B3"/>
    </sheetView>
  </sheetViews>
  <sheetFormatPr defaultRowHeight="15"/>
  <cols>
    <col min="1" max="1" width="16.140625" customWidth="1"/>
    <col min="2" max="2" width="82.140625" customWidth="1"/>
  </cols>
  <sheetData>
    <row r="1" spans="1:2">
      <c r="A1" t="s">
        <v>1285</v>
      </c>
      <c r="B1" t="s">
        <v>1286</v>
      </c>
    </row>
    <row r="2" spans="1:2">
      <c r="A2" t="s">
        <v>1283</v>
      </c>
    </row>
    <row r="3" spans="1:2">
      <c r="A3" t="s">
        <v>938</v>
      </c>
    </row>
    <row r="4" spans="1:2">
      <c r="A4" t="s">
        <v>1284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4"/>
  <sheetViews>
    <sheetView topLeftCell="A2" workbookViewId="0">
      <selection activeCell="B3" sqref="B3"/>
    </sheetView>
  </sheetViews>
  <sheetFormatPr defaultRowHeight="15"/>
  <cols>
    <col min="1" max="1" width="16.140625" customWidth="1"/>
  </cols>
  <sheetData>
    <row r="1" spans="1:3">
      <c r="A1" t="s">
        <v>1270</v>
      </c>
      <c r="B1" t="s">
        <v>1437</v>
      </c>
      <c r="C1" t="s">
        <v>1572</v>
      </c>
    </row>
    <row r="2" spans="1:3" ht="15.75" thickBot="1">
      <c r="A2" t="s">
        <v>1783</v>
      </c>
      <c r="B2" s="266" t="s">
        <v>1558</v>
      </c>
    </row>
    <row r="3" spans="1:3" ht="15.75" thickBot="1">
      <c r="A3" s="74" t="s">
        <v>31</v>
      </c>
      <c r="B3" s="265" t="s">
        <v>1965</v>
      </c>
      <c r="C3" t="s">
        <v>1600</v>
      </c>
    </row>
    <row r="4" spans="1:3">
      <c r="A4" t="s">
        <v>1269</v>
      </c>
      <c r="B4" s="267" t="s">
        <v>1336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O106"/>
  <sheetViews>
    <sheetView topLeftCell="A97" workbookViewId="0">
      <selection activeCell="K112" sqref="K112"/>
    </sheetView>
  </sheetViews>
  <sheetFormatPr defaultRowHeight="15" outlineLevelRow="1"/>
  <cols>
    <col min="1" max="1" width="8.85546875" style="3" customWidth="1"/>
    <col min="2" max="2" width="3.5703125" style="3" customWidth="1"/>
    <col min="3" max="3" width="5.28515625" style="3" customWidth="1"/>
    <col min="4" max="4" width="9.140625" style="3" customWidth="1"/>
    <col min="5" max="5" width="19.85546875" style="3" customWidth="1"/>
    <col min="6" max="6" width="13.140625" style="3" customWidth="1"/>
    <col min="7" max="7" width="14.85546875" style="3" customWidth="1"/>
    <col min="8" max="8" width="23.42578125" style="3" customWidth="1"/>
    <col min="9" max="9" width="19.28515625" style="3" customWidth="1"/>
    <col min="10" max="10" width="28.28515625" style="3" customWidth="1"/>
    <col min="11" max="11" width="8.28515625" style="3" customWidth="1"/>
    <col min="12" max="12" width="8.5703125" style="3" customWidth="1"/>
    <col min="13" max="13" width="10.140625" style="3" customWidth="1"/>
    <col min="14" max="14" width="8.85546875" style="3" customWidth="1"/>
    <col min="15" max="15" width="10.140625" style="3" customWidth="1"/>
  </cols>
  <sheetData>
    <row r="1" spans="1:15" s="3" customFormat="1" ht="9.9499999999999993" customHeight="1"/>
    <row r="2" spans="1:15" ht="49.15" customHeight="1">
      <c r="A2" s="705" t="s">
        <v>1139</v>
      </c>
      <c r="B2" s="706"/>
      <c r="C2" s="706"/>
      <c r="D2" s="706"/>
      <c r="E2" s="706"/>
      <c r="F2" s="706"/>
      <c r="G2" s="705"/>
      <c r="H2" s="705"/>
      <c r="I2" s="705"/>
      <c r="J2" s="705"/>
      <c r="K2" s="705"/>
      <c r="L2" s="705"/>
      <c r="M2" s="705"/>
      <c r="N2" s="705"/>
      <c r="O2" s="705"/>
    </row>
    <row r="3" spans="1:15" s="3" customFormat="1" ht="9.9499999999999993" customHeight="1"/>
    <row r="4" spans="1:15" outlineLevel="1">
      <c r="A4" s="76" t="s">
        <v>816</v>
      </c>
      <c r="B4" s="76"/>
      <c r="C4" s="76" t="s">
        <v>1038</v>
      </c>
      <c r="D4" s="76"/>
      <c r="E4" s="76"/>
      <c r="F4"/>
      <c r="G4"/>
      <c r="H4"/>
      <c r="I4"/>
      <c r="J4"/>
      <c r="K4"/>
      <c r="L4"/>
      <c r="M4"/>
      <c r="N4"/>
      <c r="O4"/>
    </row>
    <row r="5" spans="1:15" outlineLevel="1">
      <c r="A5"/>
      <c r="B5"/>
      <c r="C5" s="76" t="s">
        <v>1039</v>
      </c>
      <c r="D5" s="76"/>
      <c r="E5" s="76"/>
      <c r="F5"/>
      <c r="G5"/>
      <c r="H5"/>
      <c r="I5"/>
      <c r="J5"/>
      <c r="K5"/>
      <c r="L5"/>
      <c r="M5"/>
      <c r="N5"/>
      <c r="O5"/>
    </row>
    <row r="6" spans="1:15" s="3" customFormat="1" ht="9.9499999999999993" customHeight="1"/>
    <row r="7" spans="1:15" ht="26.1" customHeight="1">
      <c r="A7" s="709" t="s">
        <v>10</v>
      </c>
      <c r="B7" s="709"/>
      <c r="C7" s="709"/>
      <c r="D7" s="709" t="s">
        <v>17</v>
      </c>
      <c r="E7" s="709" t="s">
        <v>817</v>
      </c>
      <c r="F7" s="709"/>
      <c r="G7" s="709"/>
      <c r="H7" s="709" t="s">
        <v>4</v>
      </c>
      <c r="I7" s="709" t="s">
        <v>1041</v>
      </c>
      <c r="J7" s="709" t="s">
        <v>1040</v>
      </c>
      <c r="K7" s="709" t="s">
        <v>6</v>
      </c>
      <c r="L7" s="77" t="s">
        <v>18</v>
      </c>
      <c r="M7" s="77" t="s">
        <v>818</v>
      </c>
      <c r="N7" s="77" t="s">
        <v>819</v>
      </c>
      <c r="O7" s="78" t="s">
        <v>14</v>
      </c>
    </row>
    <row r="8" spans="1:15" ht="26.1" customHeight="1">
      <c r="A8" s="709"/>
      <c r="B8" s="709"/>
      <c r="C8" s="709"/>
      <c r="D8" s="709"/>
      <c r="E8" s="709"/>
      <c r="F8" s="709"/>
      <c r="G8" s="709"/>
      <c r="H8" s="709"/>
      <c r="I8" s="709"/>
      <c r="J8" s="709"/>
      <c r="K8" s="709"/>
      <c r="L8" s="77" t="s">
        <v>403</v>
      </c>
      <c r="M8" s="77" t="s">
        <v>403</v>
      </c>
      <c r="N8" s="77" t="s">
        <v>403</v>
      </c>
      <c r="O8" s="77" t="s">
        <v>403</v>
      </c>
    </row>
    <row r="9" spans="1:15" ht="41.1" customHeight="1">
      <c r="A9" s="707" t="s">
        <v>19</v>
      </c>
      <c r="B9" s="707"/>
      <c r="C9" s="707"/>
      <c r="D9" s="62">
        <v>1</v>
      </c>
      <c r="E9" s="707" t="s">
        <v>820</v>
      </c>
      <c r="F9" s="707"/>
      <c r="G9" s="707"/>
      <c r="H9" s="75" t="s">
        <v>43</v>
      </c>
      <c r="I9" s="75" t="s">
        <v>1042</v>
      </c>
      <c r="J9" s="75" t="s">
        <v>431</v>
      </c>
      <c r="K9" s="75" t="s">
        <v>999</v>
      </c>
      <c r="L9" s="12"/>
      <c r="M9" s="13">
        <v>44.1</v>
      </c>
      <c r="N9" s="12"/>
      <c r="O9" s="13">
        <v>44.1</v>
      </c>
    </row>
    <row r="10" spans="1:15" ht="41.1" customHeight="1">
      <c r="A10" s="707" t="s">
        <v>19</v>
      </c>
      <c r="B10" s="707"/>
      <c r="C10" s="707"/>
      <c r="D10" s="62">
        <v>1</v>
      </c>
      <c r="E10" s="707" t="s">
        <v>820</v>
      </c>
      <c r="F10" s="707"/>
      <c r="G10" s="707"/>
      <c r="H10" s="75" t="s">
        <v>45</v>
      </c>
      <c r="I10" s="75" t="s">
        <v>1043</v>
      </c>
      <c r="J10" s="75" t="s">
        <v>431</v>
      </c>
      <c r="K10" s="75" t="s">
        <v>999</v>
      </c>
      <c r="L10" s="13">
        <v>18.725000000000001</v>
      </c>
      <c r="M10" s="13">
        <v>61.776000000000003</v>
      </c>
      <c r="N10" s="12"/>
      <c r="O10" s="13">
        <v>80.501000000000005</v>
      </c>
    </row>
    <row r="11" spans="1:15" ht="41.1" customHeight="1">
      <c r="A11" s="707" t="s">
        <v>19</v>
      </c>
      <c r="B11" s="707"/>
      <c r="C11" s="707"/>
      <c r="D11" s="62">
        <v>1</v>
      </c>
      <c r="E11" s="707" t="s">
        <v>821</v>
      </c>
      <c r="F11" s="707"/>
      <c r="G11" s="707"/>
      <c r="H11" s="75" t="s">
        <v>65</v>
      </c>
      <c r="I11" s="75" t="s">
        <v>1044</v>
      </c>
      <c r="J11" s="75" t="s">
        <v>431</v>
      </c>
      <c r="K11" s="75" t="s">
        <v>999</v>
      </c>
      <c r="L11" s="13">
        <v>16.690000000000001</v>
      </c>
      <c r="M11" s="13">
        <v>54.6</v>
      </c>
      <c r="N11" s="12"/>
      <c r="O11" s="13">
        <v>71.290000000000006</v>
      </c>
    </row>
    <row r="12" spans="1:15" ht="41.1" customHeight="1">
      <c r="A12" s="707" t="s">
        <v>19</v>
      </c>
      <c r="B12" s="707"/>
      <c r="C12" s="707"/>
      <c r="D12" s="62">
        <v>2</v>
      </c>
      <c r="E12" s="707" t="s">
        <v>822</v>
      </c>
      <c r="F12" s="707"/>
      <c r="G12" s="707"/>
      <c r="H12" s="75" t="s">
        <v>25</v>
      </c>
      <c r="I12" s="75" t="s">
        <v>1045</v>
      </c>
      <c r="J12" s="75" t="s">
        <v>404</v>
      </c>
      <c r="K12" s="75" t="s">
        <v>1001</v>
      </c>
      <c r="L12" s="12"/>
      <c r="M12" s="13">
        <v>29.4</v>
      </c>
      <c r="N12" s="12"/>
      <c r="O12" s="13">
        <v>29.4</v>
      </c>
    </row>
    <row r="13" spans="1:15" ht="41.1" customHeight="1">
      <c r="A13" s="707" t="s">
        <v>19</v>
      </c>
      <c r="B13" s="707"/>
      <c r="C13" s="707"/>
      <c r="D13" s="62">
        <v>3</v>
      </c>
      <c r="E13" s="707" t="s">
        <v>1000</v>
      </c>
      <c r="F13" s="707"/>
      <c r="G13" s="707"/>
      <c r="H13" s="75" t="s">
        <v>63</v>
      </c>
      <c r="I13" s="75" t="s">
        <v>1046</v>
      </c>
      <c r="J13" s="75" t="s">
        <v>431</v>
      </c>
      <c r="K13" s="75" t="s">
        <v>1002</v>
      </c>
      <c r="L13" s="13">
        <v>4.63</v>
      </c>
      <c r="M13" s="13">
        <v>4.2</v>
      </c>
      <c r="N13" s="12"/>
      <c r="O13" s="13">
        <v>8.83</v>
      </c>
    </row>
    <row r="14" spans="1:15" ht="41.1" customHeight="1">
      <c r="A14" s="707" t="s">
        <v>19</v>
      </c>
      <c r="B14" s="707"/>
      <c r="C14" s="707"/>
      <c r="D14" s="62">
        <v>4</v>
      </c>
      <c r="E14" s="707" t="s">
        <v>1003</v>
      </c>
      <c r="F14" s="707"/>
      <c r="G14" s="707"/>
      <c r="H14" s="75" t="s">
        <v>72</v>
      </c>
      <c r="I14" s="75" t="s">
        <v>1047</v>
      </c>
      <c r="J14" s="75" t="s">
        <v>431</v>
      </c>
      <c r="K14" s="75" t="s">
        <v>912</v>
      </c>
      <c r="L14" s="13">
        <v>1.0129999999999999</v>
      </c>
      <c r="M14" s="12"/>
      <c r="N14" s="12"/>
      <c r="O14" s="13">
        <v>1.0129999999999999</v>
      </c>
    </row>
    <row r="15" spans="1:15" ht="41.1" customHeight="1">
      <c r="A15" s="707" t="s">
        <v>19</v>
      </c>
      <c r="B15" s="707"/>
      <c r="C15" s="707"/>
      <c r="D15" s="62">
        <v>4</v>
      </c>
      <c r="E15" s="707" t="s">
        <v>1004</v>
      </c>
      <c r="F15" s="707"/>
      <c r="G15" s="707"/>
      <c r="H15" s="75" t="s">
        <v>81</v>
      </c>
      <c r="I15" s="75" t="s">
        <v>1048</v>
      </c>
      <c r="J15" s="75" t="s">
        <v>431</v>
      </c>
      <c r="K15" s="75" t="s">
        <v>912</v>
      </c>
      <c r="L15" s="13">
        <v>0.96299999999999997</v>
      </c>
      <c r="M15" s="12"/>
      <c r="N15" s="12"/>
      <c r="O15" s="13">
        <v>0.96299999999999997</v>
      </c>
    </row>
    <row r="16" spans="1:15" ht="41.1" customHeight="1">
      <c r="A16" s="707" t="s">
        <v>19</v>
      </c>
      <c r="B16" s="707"/>
      <c r="C16" s="707"/>
      <c r="D16" s="62">
        <v>4</v>
      </c>
      <c r="E16" s="707" t="s">
        <v>1005</v>
      </c>
      <c r="F16" s="707"/>
      <c r="G16" s="707"/>
      <c r="H16" s="75" t="s">
        <v>71</v>
      </c>
      <c r="I16" s="75" t="s">
        <v>1049</v>
      </c>
      <c r="J16" s="75" t="s">
        <v>431</v>
      </c>
      <c r="K16" s="75" t="s">
        <v>912</v>
      </c>
      <c r="L16" s="12"/>
      <c r="M16" s="13">
        <v>52.5</v>
      </c>
      <c r="N16" s="12"/>
      <c r="O16" s="13">
        <v>52.5</v>
      </c>
    </row>
    <row r="17" spans="1:15" ht="41.1" customHeight="1">
      <c r="A17" s="707" t="s">
        <v>19</v>
      </c>
      <c r="B17" s="707"/>
      <c r="C17" s="707"/>
      <c r="D17" s="62">
        <v>5</v>
      </c>
      <c r="E17" s="707" t="s">
        <v>820</v>
      </c>
      <c r="F17" s="707"/>
      <c r="G17" s="707"/>
      <c r="H17" s="75" t="s">
        <v>46</v>
      </c>
      <c r="I17" s="75" t="s">
        <v>1050</v>
      </c>
      <c r="J17" s="75" t="s">
        <v>431</v>
      </c>
      <c r="K17" s="75" t="s">
        <v>917</v>
      </c>
      <c r="L17" s="13">
        <v>5.56</v>
      </c>
      <c r="M17" s="13">
        <v>97.542000000000002</v>
      </c>
      <c r="N17" s="12"/>
      <c r="O17" s="13">
        <v>103.102</v>
      </c>
    </row>
    <row r="18" spans="1:15" ht="41.1" customHeight="1">
      <c r="A18" s="707" t="s">
        <v>19</v>
      </c>
      <c r="B18" s="707"/>
      <c r="C18" s="707"/>
      <c r="D18" s="62">
        <v>6</v>
      </c>
      <c r="E18" s="707" t="s">
        <v>821</v>
      </c>
      <c r="F18" s="707"/>
      <c r="G18" s="707"/>
      <c r="H18" s="75" t="s">
        <v>67</v>
      </c>
      <c r="I18" s="75" t="s">
        <v>1051</v>
      </c>
      <c r="J18" s="75" t="s">
        <v>431</v>
      </c>
      <c r="K18" s="75" t="s">
        <v>1006</v>
      </c>
      <c r="L18" s="13">
        <v>16.510000000000002</v>
      </c>
      <c r="M18" s="13">
        <v>145.155</v>
      </c>
      <c r="N18" s="12"/>
      <c r="O18" s="13">
        <v>161.66499999999999</v>
      </c>
    </row>
    <row r="19" spans="1:15" ht="41.1" customHeight="1">
      <c r="A19" s="707" t="s">
        <v>85</v>
      </c>
      <c r="B19" s="707"/>
      <c r="C19" s="707"/>
      <c r="D19" s="62">
        <v>1</v>
      </c>
      <c r="E19" s="707" t="s">
        <v>823</v>
      </c>
      <c r="F19" s="707"/>
      <c r="G19" s="707"/>
      <c r="H19" s="75" t="s">
        <v>93</v>
      </c>
      <c r="I19" s="75" t="s">
        <v>1052</v>
      </c>
      <c r="J19" s="75" t="s">
        <v>497</v>
      </c>
      <c r="K19" s="75" t="s">
        <v>1007</v>
      </c>
      <c r="L19" s="12"/>
      <c r="M19" s="13">
        <v>37.094000000000001</v>
      </c>
      <c r="N19" s="13">
        <v>152.25</v>
      </c>
      <c r="O19" s="13">
        <v>189.34399999999999</v>
      </c>
    </row>
    <row r="20" spans="1:15" ht="41.1" customHeight="1">
      <c r="A20" s="707" t="s">
        <v>85</v>
      </c>
      <c r="B20" s="707"/>
      <c r="C20" s="707"/>
      <c r="D20" s="62">
        <v>1</v>
      </c>
      <c r="E20" s="707" t="s">
        <v>824</v>
      </c>
      <c r="F20" s="707"/>
      <c r="G20" s="707"/>
      <c r="H20" s="75" t="s">
        <v>125</v>
      </c>
      <c r="I20" s="75" t="s">
        <v>1053</v>
      </c>
      <c r="J20" s="75" t="s">
        <v>497</v>
      </c>
      <c r="K20" s="75" t="s">
        <v>1007</v>
      </c>
      <c r="L20" s="12"/>
      <c r="M20" s="13">
        <v>6.7569999999999997</v>
      </c>
      <c r="N20" s="12"/>
      <c r="O20" s="13">
        <v>6.7569999999999997</v>
      </c>
    </row>
    <row r="21" spans="1:15" ht="41.1" customHeight="1">
      <c r="A21" s="707" t="s">
        <v>85</v>
      </c>
      <c r="B21" s="707"/>
      <c r="C21" s="707"/>
      <c r="D21" s="62">
        <v>1</v>
      </c>
      <c r="E21" s="707" t="s">
        <v>824</v>
      </c>
      <c r="F21" s="707"/>
      <c r="G21" s="707"/>
      <c r="H21" s="75" t="s">
        <v>127</v>
      </c>
      <c r="I21" s="75" t="s">
        <v>1054</v>
      </c>
      <c r="J21" s="75" t="s">
        <v>497</v>
      </c>
      <c r="K21" s="75" t="s">
        <v>1007</v>
      </c>
      <c r="L21" s="12"/>
      <c r="M21" s="13">
        <v>67.844999999999999</v>
      </c>
      <c r="N21" s="12"/>
      <c r="O21" s="13">
        <v>67.844999999999999</v>
      </c>
    </row>
    <row r="22" spans="1:15" ht="41.1" customHeight="1">
      <c r="A22" s="707" t="s">
        <v>85</v>
      </c>
      <c r="B22" s="707"/>
      <c r="C22" s="707"/>
      <c r="D22" s="62">
        <v>1</v>
      </c>
      <c r="E22" s="707" t="s">
        <v>825</v>
      </c>
      <c r="F22" s="707"/>
      <c r="G22" s="707"/>
      <c r="H22" s="75" t="s">
        <v>116</v>
      </c>
      <c r="I22" s="75" t="s">
        <v>1055</v>
      </c>
      <c r="J22" s="75" t="s">
        <v>431</v>
      </c>
      <c r="K22" s="75" t="s">
        <v>1007</v>
      </c>
      <c r="L22" s="12"/>
      <c r="M22" s="13">
        <v>13.513999999999999</v>
      </c>
      <c r="N22" s="12"/>
      <c r="O22" s="13">
        <v>13.513999999999999</v>
      </c>
    </row>
    <row r="23" spans="1:15" ht="41.1" customHeight="1">
      <c r="A23" s="707" t="s">
        <v>85</v>
      </c>
      <c r="B23" s="707"/>
      <c r="C23" s="707"/>
      <c r="D23" s="62">
        <v>2</v>
      </c>
      <c r="E23" s="707" t="s">
        <v>826</v>
      </c>
      <c r="F23" s="707"/>
      <c r="G23" s="707"/>
      <c r="H23" s="75" t="s">
        <v>100</v>
      </c>
      <c r="I23" s="75" t="s">
        <v>1056</v>
      </c>
      <c r="J23" s="75" t="s">
        <v>497</v>
      </c>
      <c r="K23" s="75" t="s">
        <v>910</v>
      </c>
      <c r="L23" s="13">
        <v>12.88</v>
      </c>
      <c r="M23" s="13">
        <v>114.66</v>
      </c>
      <c r="N23" s="12"/>
      <c r="O23" s="13">
        <v>127.54</v>
      </c>
    </row>
    <row r="24" spans="1:15" ht="41.1" customHeight="1">
      <c r="A24" s="707" t="s">
        <v>85</v>
      </c>
      <c r="B24" s="707"/>
      <c r="C24" s="707"/>
      <c r="D24" s="62">
        <v>2</v>
      </c>
      <c r="E24" s="707" t="s">
        <v>827</v>
      </c>
      <c r="F24" s="707"/>
      <c r="G24" s="707"/>
      <c r="H24" s="75" t="s">
        <v>130</v>
      </c>
      <c r="I24" s="75" t="s">
        <v>1057</v>
      </c>
      <c r="J24" s="75" t="s">
        <v>497</v>
      </c>
      <c r="K24" s="75" t="s">
        <v>910</v>
      </c>
      <c r="L24" s="13">
        <v>19.082999999999998</v>
      </c>
      <c r="M24" s="13">
        <v>25.2</v>
      </c>
      <c r="N24" s="12"/>
      <c r="O24" s="13">
        <v>44.283000000000001</v>
      </c>
    </row>
    <row r="25" spans="1:15" ht="41.1" customHeight="1">
      <c r="A25" s="707" t="s">
        <v>85</v>
      </c>
      <c r="B25" s="707"/>
      <c r="C25" s="707"/>
      <c r="D25" s="62">
        <v>2</v>
      </c>
      <c r="E25" s="707" t="s">
        <v>828</v>
      </c>
      <c r="F25" s="707"/>
      <c r="G25" s="707"/>
      <c r="H25" s="75" t="s">
        <v>131</v>
      </c>
      <c r="I25" s="75" t="s">
        <v>1058</v>
      </c>
      <c r="J25" s="75" t="s">
        <v>497</v>
      </c>
      <c r="K25" s="75" t="s">
        <v>910</v>
      </c>
      <c r="L25" s="12"/>
      <c r="M25" s="13">
        <v>4.2</v>
      </c>
      <c r="N25" s="12"/>
      <c r="O25" s="13">
        <v>4.2</v>
      </c>
    </row>
    <row r="26" spans="1:15" ht="41.1" customHeight="1">
      <c r="A26" s="707" t="s">
        <v>85</v>
      </c>
      <c r="B26" s="707"/>
      <c r="C26" s="707"/>
      <c r="D26" s="62">
        <v>2</v>
      </c>
      <c r="E26" s="707" t="s">
        <v>829</v>
      </c>
      <c r="F26" s="707"/>
      <c r="G26" s="707"/>
      <c r="H26" s="75" t="s">
        <v>122</v>
      </c>
      <c r="I26" s="75" t="s">
        <v>1059</v>
      </c>
      <c r="J26" s="75" t="s">
        <v>431</v>
      </c>
      <c r="K26" s="75" t="s">
        <v>910</v>
      </c>
      <c r="L26" s="13">
        <v>24.364999999999998</v>
      </c>
      <c r="M26" s="13">
        <v>119.819</v>
      </c>
      <c r="N26" s="12"/>
      <c r="O26" s="13">
        <v>144.184</v>
      </c>
    </row>
    <row r="27" spans="1:15" ht="41.1" customHeight="1">
      <c r="A27" s="707" t="s">
        <v>85</v>
      </c>
      <c r="B27" s="707"/>
      <c r="C27" s="707"/>
      <c r="D27" s="62">
        <v>4</v>
      </c>
      <c r="E27" s="707" t="s">
        <v>830</v>
      </c>
      <c r="F27" s="707"/>
      <c r="G27" s="707"/>
      <c r="H27" s="75" t="s">
        <v>121</v>
      </c>
      <c r="I27" s="75" t="s">
        <v>1060</v>
      </c>
      <c r="J27" s="75" t="s">
        <v>497</v>
      </c>
      <c r="K27" s="75" t="s">
        <v>1008</v>
      </c>
      <c r="L27" s="12"/>
      <c r="M27" s="13">
        <v>58.8</v>
      </c>
      <c r="N27" s="12"/>
      <c r="O27" s="13">
        <v>58.8</v>
      </c>
    </row>
    <row r="28" spans="1:15" ht="41.1" customHeight="1">
      <c r="A28" s="707" t="s">
        <v>85</v>
      </c>
      <c r="B28" s="707"/>
      <c r="C28" s="707"/>
      <c r="D28" s="62">
        <v>6</v>
      </c>
      <c r="E28" s="707" t="s">
        <v>825</v>
      </c>
      <c r="F28" s="707"/>
      <c r="G28" s="707"/>
      <c r="H28" s="75" t="s">
        <v>30</v>
      </c>
      <c r="I28" s="75" t="s">
        <v>1061</v>
      </c>
      <c r="J28" s="75" t="s">
        <v>431</v>
      </c>
      <c r="K28" s="75" t="s">
        <v>1009</v>
      </c>
      <c r="L28" s="12"/>
      <c r="M28" s="13">
        <v>126</v>
      </c>
      <c r="N28" s="12"/>
      <c r="O28" s="13">
        <v>126</v>
      </c>
    </row>
    <row r="29" spans="1:15" ht="41.1" customHeight="1">
      <c r="A29" s="707" t="s">
        <v>132</v>
      </c>
      <c r="B29" s="707"/>
      <c r="C29" s="707"/>
      <c r="D29" s="62">
        <v>1</v>
      </c>
      <c r="E29" s="707" t="s">
        <v>831</v>
      </c>
      <c r="F29" s="707"/>
      <c r="G29" s="707"/>
      <c r="H29" s="75" t="s">
        <v>169</v>
      </c>
      <c r="I29" s="75" t="s">
        <v>1062</v>
      </c>
      <c r="J29" s="75" t="s">
        <v>431</v>
      </c>
      <c r="K29" s="75" t="s">
        <v>926</v>
      </c>
      <c r="L29" s="12"/>
      <c r="M29" s="13">
        <v>30.8</v>
      </c>
      <c r="N29" s="12"/>
      <c r="O29" s="13">
        <v>30.8</v>
      </c>
    </row>
    <row r="30" spans="1:15" ht="41.1" customHeight="1">
      <c r="A30" s="707" t="s">
        <v>132</v>
      </c>
      <c r="B30" s="707"/>
      <c r="C30" s="707"/>
      <c r="D30" s="62">
        <v>1</v>
      </c>
      <c r="E30" s="707" t="s">
        <v>832</v>
      </c>
      <c r="F30" s="707"/>
      <c r="G30" s="707"/>
      <c r="H30" s="75" t="s">
        <v>176</v>
      </c>
      <c r="I30" s="75" t="s">
        <v>1063</v>
      </c>
      <c r="J30" s="75" t="s">
        <v>431</v>
      </c>
      <c r="K30" s="75" t="s">
        <v>926</v>
      </c>
      <c r="L30" s="12"/>
      <c r="M30" s="13">
        <v>12.95</v>
      </c>
      <c r="N30" s="12"/>
      <c r="O30" s="13">
        <v>12.95</v>
      </c>
    </row>
    <row r="31" spans="1:15" ht="41.1" customHeight="1">
      <c r="A31" s="707" t="s">
        <v>132</v>
      </c>
      <c r="B31" s="707"/>
      <c r="C31" s="707"/>
      <c r="D31" s="62">
        <v>1</v>
      </c>
      <c r="E31" s="707" t="s">
        <v>833</v>
      </c>
      <c r="F31" s="707"/>
      <c r="G31" s="707"/>
      <c r="H31" s="75" t="s">
        <v>160</v>
      </c>
      <c r="I31" s="75" t="s">
        <v>1064</v>
      </c>
      <c r="J31" s="75" t="s">
        <v>431</v>
      </c>
      <c r="K31" s="75" t="s">
        <v>926</v>
      </c>
      <c r="L31" s="13">
        <v>2.5950000000000002</v>
      </c>
      <c r="M31" s="13">
        <v>37.066000000000003</v>
      </c>
      <c r="N31" s="12"/>
      <c r="O31" s="13">
        <v>39.661000000000001</v>
      </c>
    </row>
    <row r="32" spans="1:15" ht="41.1" customHeight="1">
      <c r="A32" s="707" t="s">
        <v>132</v>
      </c>
      <c r="B32" s="707"/>
      <c r="C32" s="707"/>
      <c r="D32" s="62">
        <v>3</v>
      </c>
      <c r="E32" s="707" t="s">
        <v>834</v>
      </c>
      <c r="F32" s="707"/>
      <c r="G32" s="707"/>
      <c r="H32" s="75" t="s">
        <v>147</v>
      </c>
      <c r="I32" s="75" t="s">
        <v>1065</v>
      </c>
      <c r="J32" s="75" t="s">
        <v>431</v>
      </c>
      <c r="K32" s="75" t="s">
        <v>911</v>
      </c>
      <c r="L32" s="13">
        <v>39.090000000000003</v>
      </c>
      <c r="M32" s="13">
        <v>33.258000000000003</v>
      </c>
      <c r="N32" s="13">
        <v>66.42</v>
      </c>
      <c r="O32" s="13">
        <v>138.768</v>
      </c>
    </row>
    <row r="33" spans="1:15" ht="41.1" customHeight="1">
      <c r="A33" s="707" t="s">
        <v>132</v>
      </c>
      <c r="B33" s="707"/>
      <c r="C33" s="707"/>
      <c r="D33" s="62">
        <v>3</v>
      </c>
      <c r="E33" s="707" t="s">
        <v>835</v>
      </c>
      <c r="F33" s="707"/>
      <c r="G33" s="707"/>
      <c r="H33" s="75" t="s">
        <v>173</v>
      </c>
      <c r="I33" s="75" t="s">
        <v>1066</v>
      </c>
      <c r="J33" s="75" t="s">
        <v>431</v>
      </c>
      <c r="K33" s="75" t="s">
        <v>911</v>
      </c>
      <c r="L33" s="13">
        <v>7.93</v>
      </c>
      <c r="M33" s="13">
        <v>4.2</v>
      </c>
      <c r="N33" s="12"/>
      <c r="O33" s="13">
        <v>12.13</v>
      </c>
    </row>
    <row r="34" spans="1:15" ht="41.1" customHeight="1">
      <c r="A34" s="707" t="s">
        <v>132</v>
      </c>
      <c r="B34" s="707"/>
      <c r="C34" s="707"/>
      <c r="D34" s="62">
        <v>4</v>
      </c>
      <c r="E34" s="707" t="s">
        <v>833</v>
      </c>
      <c r="F34" s="707"/>
      <c r="G34" s="707"/>
      <c r="H34" s="75" t="s">
        <v>159</v>
      </c>
      <c r="I34" s="75" t="s">
        <v>1067</v>
      </c>
      <c r="J34" s="75" t="s">
        <v>431</v>
      </c>
      <c r="K34" s="75" t="s">
        <v>924</v>
      </c>
      <c r="L34" s="13">
        <v>7.42</v>
      </c>
      <c r="M34" s="13">
        <v>18.2</v>
      </c>
      <c r="N34" s="12"/>
      <c r="O34" s="13">
        <v>25.62</v>
      </c>
    </row>
    <row r="35" spans="1:15" ht="41.1" customHeight="1">
      <c r="A35" s="707" t="s">
        <v>132</v>
      </c>
      <c r="B35" s="707"/>
      <c r="C35" s="707"/>
      <c r="D35" s="62">
        <v>5</v>
      </c>
      <c r="E35" s="707" t="s">
        <v>836</v>
      </c>
      <c r="F35" s="707"/>
      <c r="G35" s="707"/>
      <c r="H35" s="75" t="s">
        <v>165</v>
      </c>
      <c r="I35" s="75" t="s">
        <v>1068</v>
      </c>
      <c r="J35" s="75" t="s">
        <v>431</v>
      </c>
      <c r="K35" s="75" t="s">
        <v>1012</v>
      </c>
      <c r="L35" s="12"/>
      <c r="M35" s="13">
        <v>4.2</v>
      </c>
      <c r="N35" s="12"/>
      <c r="O35" s="13">
        <v>4.2</v>
      </c>
    </row>
    <row r="36" spans="1:15" ht="41.1" customHeight="1">
      <c r="A36" s="707" t="s">
        <v>132</v>
      </c>
      <c r="B36" s="707"/>
      <c r="C36" s="707"/>
      <c r="D36" s="62">
        <v>5</v>
      </c>
      <c r="E36" s="707" t="s">
        <v>837</v>
      </c>
      <c r="F36" s="707"/>
      <c r="G36" s="707"/>
      <c r="H36" s="75" t="s">
        <v>155</v>
      </c>
      <c r="I36" s="75" t="s">
        <v>1069</v>
      </c>
      <c r="J36" s="75" t="s">
        <v>431</v>
      </c>
      <c r="K36" s="75" t="s">
        <v>1012</v>
      </c>
      <c r="L36" s="13">
        <v>30.004000000000001</v>
      </c>
      <c r="M36" s="13">
        <v>4.2</v>
      </c>
      <c r="N36" s="12"/>
      <c r="O36" s="13">
        <v>34.204000000000001</v>
      </c>
    </row>
    <row r="37" spans="1:15" ht="41.1" customHeight="1">
      <c r="A37" s="707" t="s">
        <v>132</v>
      </c>
      <c r="B37" s="707"/>
      <c r="C37" s="707"/>
      <c r="D37" s="62">
        <v>5</v>
      </c>
      <c r="E37" s="707" t="s">
        <v>1013</v>
      </c>
      <c r="F37" s="707"/>
      <c r="G37" s="707"/>
      <c r="H37" s="75" t="s">
        <v>47</v>
      </c>
      <c r="I37" s="75" t="s">
        <v>1070</v>
      </c>
      <c r="J37" s="75" t="s">
        <v>431</v>
      </c>
      <c r="K37" s="75" t="s">
        <v>1012</v>
      </c>
      <c r="L37" s="12"/>
      <c r="M37" s="13">
        <v>4.2</v>
      </c>
      <c r="N37" s="12"/>
      <c r="O37" s="13">
        <v>4.2</v>
      </c>
    </row>
    <row r="38" spans="1:15" ht="41.1" customHeight="1">
      <c r="A38" s="707" t="s">
        <v>132</v>
      </c>
      <c r="B38" s="707"/>
      <c r="C38" s="707"/>
      <c r="D38" s="62">
        <v>6</v>
      </c>
      <c r="E38" s="707" t="s">
        <v>838</v>
      </c>
      <c r="F38" s="707"/>
      <c r="G38" s="707"/>
      <c r="H38" s="75" t="s">
        <v>154</v>
      </c>
      <c r="I38" s="75" t="s">
        <v>1071</v>
      </c>
      <c r="J38" s="75" t="s">
        <v>431</v>
      </c>
      <c r="K38" s="75" t="s">
        <v>916</v>
      </c>
      <c r="L38" s="12"/>
      <c r="M38" s="13">
        <v>21</v>
      </c>
      <c r="N38" s="12"/>
      <c r="O38" s="13">
        <v>21</v>
      </c>
    </row>
    <row r="39" spans="1:15" ht="41.1" customHeight="1">
      <c r="A39" s="707" t="s">
        <v>132</v>
      </c>
      <c r="B39" s="707"/>
      <c r="C39" s="707"/>
      <c r="D39" s="62">
        <v>7</v>
      </c>
      <c r="E39" s="707" t="s">
        <v>838</v>
      </c>
      <c r="F39" s="707"/>
      <c r="G39" s="707"/>
      <c r="H39" s="75" t="s">
        <v>153</v>
      </c>
      <c r="I39" s="75" t="s">
        <v>1072</v>
      </c>
      <c r="J39" s="75" t="s">
        <v>431</v>
      </c>
      <c r="K39" s="75" t="s">
        <v>919</v>
      </c>
      <c r="L39" s="12"/>
      <c r="M39" s="13">
        <v>50.4</v>
      </c>
      <c r="N39" s="12"/>
      <c r="O39" s="13">
        <v>50.4</v>
      </c>
    </row>
    <row r="40" spans="1:15" ht="41.1" customHeight="1">
      <c r="A40" s="707" t="s">
        <v>177</v>
      </c>
      <c r="B40" s="707"/>
      <c r="C40" s="707"/>
      <c r="D40" s="62">
        <v>1</v>
      </c>
      <c r="E40" s="707" t="s">
        <v>839</v>
      </c>
      <c r="F40" s="707"/>
      <c r="G40" s="707"/>
      <c r="H40" s="75" t="s">
        <v>189</v>
      </c>
      <c r="I40" s="75" t="s">
        <v>1073</v>
      </c>
      <c r="J40" s="75" t="s">
        <v>471</v>
      </c>
      <c r="K40" s="75" t="s">
        <v>922</v>
      </c>
      <c r="L40" s="13">
        <v>20.77</v>
      </c>
      <c r="M40" s="12"/>
      <c r="N40" s="12"/>
      <c r="O40" s="13">
        <v>20.77</v>
      </c>
    </row>
    <row r="41" spans="1:15" ht="41.1" customHeight="1">
      <c r="A41" s="707" t="s">
        <v>177</v>
      </c>
      <c r="B41" s="707"/>
      <c r="C41" s="707"/>
      <c r="D41" s="62">
        <v>1</v>
      </c>
      <c r="E41" s="707" t="s">
        <v>840</v>
      </c>
      <c r="F41" s="707"/>
      <c r="G41" s="707"/>
      <c r="H41" s="75" t="s">
        <v>215</v>
      </c>
      <c r="I41" s="75" t="s">
        <v>1074</v>
      </c>
      <c r="J41" s="75" t="s">
        <v>471</v>
      </c>
      <c r="K41" s="75" t="s">
        <v>922</v>
      </c>
      <c r="L41" s="13">
        <v>9.9830000000000005</v>
      </c>
      <c r="M41" s="13">
        <v>21.859000000000002</v>
      </c>
      <c r="N41" s="12"/>
      <c r="O41" s="13">
        <v>31.841999999999999</v>
      </c>
    </row>
    <row r="42" spans="1:15" ht="41.1" customHeight="1">
      <c r="A42" s="707" t="s">
        <v>177</v>
      </c>
      <c r="B42" s="707"/>
      <c r="C42" s="707"/>
      <c r="D42" s="62">
        <v>1</v>
      </c>
      <c r="E42" s="707" t="s">
        <v>840</v>
      </c>
      <c r="F42" s="707"/>
      <c r="G42" s="707"/>
      <c r="H42" s="75" t="s">
        <v>214</v>
      </c>
      <c r="I42" s="75" t="s">
        <v>1075</v>
      </c>
      <c r="J42" s="75" t="s">
        <v>471</v>
      </c>
      <c r="K42" s="75" t="s">
        <v>922</v>
      </c>
      <c r="L42" s="12"/>
      <c r="M42" s="13">
        <v>26.542000000000002</v>
      </c>
      <c r="N42" s="12"/>
      <c r="O42" s="13">
        <v>26.542000000000002</v>
      </c>
    </row>
    <row r="43" spans="1:15" ht="41.1" customHeight="1">
      <c r="A43" s="707" t="s">
        <v>177</v>
      </c>
      <c r="B43" s="707"/>
      <c r="C43" s="707"/>
      <c r="D43" s="62">
        <v>1</v>
      </c>
      <c r="E43" s="707" t="s">
        <v>841</v>
      </c>
      <c r="F43" s="707"/>
      <c r="G43" s="707"/>
      <c r="H43" s="75" t="s">
        <v>213</v>
      </c>
      <c r="I43" s="75" t="s">
        <v>1076</v>
      </c>
      <c r="J43" s="75" t="s">
        <v>497</v>
      </c>
      <c r="K43" s="75" t="s">
        <v>922</v>
      </c>
      <c r="L43" s="12"/>
      <c r="M43" s="13">
        <v>8.4</v>
      </c>
      <c r="N43" s="12"/>
      <c r="O43" s="13">
        <v>8.4</v>
      </c>
    </row>
    <row r="44" spans="1:15" ht="41.1" customHeight="1">
      <c r="A44" s="707" t="s">
        <v>177</v>
      </c>
      <c r="B44" s="707"/>
      <c r="C44" s="707"/>
      <c r="D44" s="62">
        <v>1</v>
      </c>
      <c r="E44" s="707" t="s">
        <v>842</v>
      </c>
      <c r="F44" s="707"/>
      <c r="G44" s="707"/>
      <c r="H44" s="75" t="s">
        <v>206</v>
      </c>
      <c r="I44" s="75" t="s">
        <v>1077</v>
      </c>
      <c r="J44" s="75" t="s">
        <v>431</v>
      </c>
      <c r="K44" s="75" t="s">
        <v>922</v>
      </c>
      <c r="L44" s="13">
        <v>11.026999999999999</v>
      </c>
      <c r="M44" s="13">
        <v>67.662000000000006</v>
      </c>
      <c r="N44" s="12"/>
      <c r="O44" s="13">
        <v>78.688999999999993</v>
      </c>
    </row>
    <row r="45" spans="1:15" ht="41.1" customHeight="1">
      <c r="A45" s="707" t="s">
        <v>177</v>
      </c>
      <c r="B45" s="707"/>
      <c r="C45" s="707"/>
      <c r="D45" s="62">
        <v>2</v>
      </c>
      <c r="E45" s="707" t="s">
        <v>1014</v>
      </c>
      <c r="F45" s="707"/>
      <c r="G45" s="707"/>
      <c r="H45" s="75" t="s">
        <v>134</v>
      </c>
      <c r="I45" s="75" t="s">
        <v>1078</v>
      </c>
      <c r="J45" s="75" t="s">
        <v>471</v>
      </c>
      <c r="K45" s="75" t="s">
        <v>1015</v>
      </c>
      <c r="L45" s="12"/>
      <c r="M45" s="13">
        <v>4.452</v>
      </c>
      <c r="N45" s="12"/>
      <c r="O45" s="13">
        <v>4.452</v>
      </c>
    </row>
    <row r="46" spans="1:15" ht="41.1" customHeight="1">
      <c r="A46" s="707" t="s">
        <v>177</v>
      </c>
      <c r="B46" s="707"/>
      <c r="C46" s="707"/>
      <c r="D46" s="62">
        <v>2</v>
      </c>
      <c r="E46" s="707" t="s">
        <v>1016</v>
      </c>
      <c r="F46" s="707"/>
      <c r="G46" s="707"/>
      <c r="H46" s="75" t="s">
        <v>178</v>
      </c>
      <c r="I46" s="75" t="s">
        <v>1079</v>
      </c>
      <c r="J46" s="75" t="s">
        <v>471</v>
      </c>
      <c r="K46" s="75" t="s">
        <v>1015</v>
      </c>
      <c r="L46" s="13">
        <v>1.64</v>
      </c>
      <c r="M46" s="12"/>
      <c r="N46" s="12"/>
      <c r="O46" s="13">
        <v>1.64</v>
      </c>
    </row>
    <row r="47" spans="1:15" ht="41.1" customHeight="1">
      <c r="A47" s="707" t="s">
        <v>177</v>
      </c>
      <c r="B47" s="707"/>
      <c r="C47" s="707"/>
      <c r="D47" s="62">
        <v>2</v>
      </c>
      <c r="E47" s="707" t="s">
        <v>1016</v>
      </c>
      <c r="F47" s="707"/>
      <c r="G47" s="707"/>
      <c r="H47" s="75" t="s">
        <v>179</v>
      </c>
      <c r="I47" s="75" t="s">
        <v>1080</v>
      </c>
      <c r="J47" s="75" t="s">
        <v>471</v>
      </c>
      <c r="K47" s="75" t="s">
        <v>1015</v>
      </c>
      <c r="L47" s="13">
        <v>0.94199999999999995</v>
      </c>
      <c r="M47" s="12"/>
      <c r="N47" s="12"/>
      <c r="O47" s="13">
        <v>0.94199999999999995</v>
      </c>
    </row>
    <row r="48" spans="1:15" ht="41.1" customHeight="1">
      <c r="A48" s="707" t="s">
        <v>177</v>
      </c>
      <c r="B48" s="707"/>
      <c r="C48" s="707"/>
      <c r="D48" s="62">
        <v>2</v>
      </c>
      <c r="E48" s="707" t="s">
        <v>1016</v>
      </c>
      <c r="F48" s="707"/>
      <c r="G48" s="707"/>
      <c r="H48" s="75" t="s">
        <v>181</v>
      </c>
      <c r="I48" s="75" t="s">
        <v>1081</v>
      </c>
      <c r="J48" s="75" t="s">
        <v>471</v>
      </c>
      <c r="K48" s="75" t="s">
        <v>1015</v>
      </c>
      <c r="L48" s="13">
        <v>1.5389999999999999</v>
      </c>
      <c r="M48" s="12"/>
      <c r="N48" s="12"/>
      <c r="O48" s="13">
        <v>1.5389999999999999</v>
      </c>
    </row>
    <row r="49" spans="1:15" ht="41.1" customHeight="1">
      <c r="A49" s="707" t="s">
        <v>177</v>
      </c>
      <c r="B49" s="707"/>
      <c r="C49" s="707"/>
      <c r="D49" s="62">
        <v>2</v>
      </c>
      <c r="E49" s="707" t="s">
        <v>843</v>
      </c>
      <c r="F49" s="707"/>
      <c r="G49" s="707"/>
      <c r="H49" s="75" t="s">
        <v>204</v>
      </c>
      <c r="I49" s="75" t="s">
        <v>1082</v>
      </c>
      <c r="J49" s="75" t="s">
        <v>431</v>
      </c>
      <c r="K49" s="75" t="s">
        <v>1015</v>
      </c>
      <c r="L49" s="13">
        <v>6.2850000000000001</v>
      </c>
      <c r="M49" s="13">
        <v>12.6</v>
      </c>
      <c r="N49" s="12"/>
      <c r="O49" s="13">
        <v>18.885000000000002</v>
      </c>
    </row>
    <row r="50" spans="1:15" ht="41.1" customHeight="1">
      <c r="A50" s="707" t="s">
        <v>177</v>
      </c>
      <c r="B50" s="707"/>
      <c r="C50" s="707"/>
      <c r="D50" s="62">
        <v>2</v>
      </c>
      <c r="E50" s="707" t="s">
        <v>844</v>
      </c>
      <c r="F50" s="707"/>
      <c r="G50" s="707"/>
      <c r="H50" s="75" t="s">
        <v>199</v>
      </c>
      <c r="I50" s="75" t="s">
        <v>1083</v>
      </c>
      <c r="J50" s="75" t="s">
        <v>431</v>
      </c>
      <c r="K50" s="75" t="s">
        <v>1015</v>
      </c>
      <c r="L50" s="13">
        <v>11.167</v>
      </c>
      <c r="M50" s="13">
        <v>13.3</v>
      </c>
      <c r="N50" s="12"/>
      <c r="O50" s="13">
        <v>24.466999999999999</v>
      </c>
    </row>
    <row r="51" spans="1:15" ht="41.1" customHeight="1">
      <c r="A51" s="707" t="s">
        <v>177</v>
      </c>
      <c r="B51" s="707"/>
      <c r="C51" s="707"/>
      <c r="D51" s="62">
        <v>3</v>
      </c>
      <c r="E51" s="707" t="s">
        <v>845</v>
      </c>
      <c r="F51" s="707"/>
      <c r="G51" s="707"/>
      <c r="H51" s="75" t="s">
        <v>184</v>
      </c>
      <c r="I51" s="75" t="s">
        <v>1084</v>
      </c>
      <c r="J51" s="75" t="s">
        <v>471</v>
      </c>
      <c r="K51" s="75" t="s">
        <v>920</v>
      </c>
      <c r="L51" s="12"/>
      <c r="M51" s="13">
        <v>4.452</v>
      </c>
      <c r="N51" s="12"/>
      <c r="O51" s="13">
        <v>4.452</v>
      </c>
    </row>
    <row r="52" spans="1:15" ht="41.1" customHeight="1">
      <c r="A52" s="707" t="s">
        <v>177</v>
      </c>
      <c r="B52" s="707"/>
      <c r="C52" s="707"/>
      <c r="D52" s="62">
        <v>3</v>
      </c>
      <c r="E52" s="707" t="s">
        <v>846</v>
      </c>
      <c r="F52" s="707"/>
      <c r="G52" s="707"/>
      <c r="H52" s="75" t="s">
        <v>190</v>
      </c>
      <c r="I52" s="75" t="s">
        <v>1085</v>
      </c>
      <c r="J52" s="75" t="s">
        <v>497</v>
      </c>
      <c r="K52" s="75" t="s">
        <v>920</v>
      </c>
      <c r="L52" s="13">
        <v>65.739000000000004</v>
      </c>
      <c r="M52" s="13">
        <v>77.141000000000005</v>
      </c>
      <c r="N52" s="12"/>
      <c r="O52" s="13">
        <v>142.88</v>
      </c>
    </row>
    <row r="53" spans="1:15" ht="41.1" customHeight="1">
      <c r="A53" s="707" t="s">
        <v>177</v>
      </c>
      <c r="B53" s="707"/>
      <c r="C53" s="707"/>
      <c r="D53" s="62">
        <v>3</v>
      </c>
      <c r="E53" s="707" t="s">
        <v>847</v>
      </c>
      <c r="F53" s="707"/>
      <c r="G53" s="707"/>
      <c r="H53" s="75" t="s">
        <v>205</v>
      </c>
      <c r="I53" s="75" t="s">
        <v>1086</v>
      </c>
      <c r="J53" s="75" t="s">
        <v>431</v>
      </c>
      <c r="K53" s="75" t="s">
        <v>920</v>
      </c>
      <c r="L53" s="12"/>
      <c r="M53" s="13">
        <v>31.315000000000001</v>
      </c>
      <c r="N53" s="12"/>
      <c r="O53" s="13">
        <v>31.315000000000001</v>
      </c>
    </row>
    <row r="54" spans="1:15" ht="41.1" customHeight="1">
      <c r="A54" s="707" t="s">
        <v>177</v>
      </c>
      <c r="B54" s="707"/>
      <c r="C54" s="707"/>
      <c r="D54" s="62">
        <v>3</v>
      </c>
      <c r="E54" s="707" t="s">
        <v>844</v>
      </c>
      <c r="F54" s="707"/>
      <c r="G54" s="707"/>
      <c r="H54" s="75" t="s">
        <v>198</v>
      </c>
      <c r="I54" s="75" t="s">
        <v>1087</v>
      </c>
      <c r="J54" s="75" t="s">
        <v>431</v>
      </c>
      <c r="K54" s="75" t="s">
        <v>920</v>
      </c>
      <c r="L54" s="13">
        <v>17.559999999999999</v>
      </c>
      <c r="M54" s="13">
        <v>19.600000000000001</v>
      </c>
      <c r="N54" s="12"/>
      <c r="O54" s="13">
        <v>37.159999999999997</v>
      </c>
    </row>
    <row r="55" spans="1:15" ht="41.1" customHeight="1">
      <c r="A55" s="707" t="s">
        <v>216</v>
      </c>
      <c r="B55" s="707"/>
      <c r="C55" s="707"/>
      <c r="D55" s="62">
        <v>1</v>
      </c>
      <c r="E55" s="707" t="s">
        <v>848</v>
      </c>
      <c r="F55" s="707"/>
      <c r="G55" s="707"/>
      <c r="H55" s="75" t="s">
        <v>111</v>
      </c>
      <c r="I55" s="75" t="s">
        <v>1088</v>
      </c>
      <c r="J55" s="75" t="s">
        <v>431</v>
      </c>
      <c r="K55" s="75" t="s">
        <v>1017</v>
      </c>
      <c r="L55" s="13">
        <v>10.35</v>
      </c>
      <c r="M55" s="13">
        <v>54.6</v>
      </c>
      <c r="N55" s="12"/>
      <c r="O55" s="13">
        <v>64.95</v>
      </c>
    </row>
    <row r="56" spans="1:15" ht="41.1" customHeight="1">
      <c r="A56" s="707" t="s">
        <v>216</v>
      </c>
      <c r="B56" s="707"/>
      <c r="C56" s="707"/>
      <c r="D56" s="62">
        <v>1</v>
      </c>
      <c r="E56" s="707" t="s">
        <v>848</v>
      </c>
      <c r="F56" s="707"/>
      <c r="G56" s="707"/>
      <c r="H56" s="75" t="s">
        <v>261</v>
      </c>
      <c r="I56" s="75" t="s">
        <v>1089</v>
      </c>
      <c r="J56" s="75" t="s">
        <v>431</v>
      </c>
      <c r="K56" s="75" t="s">
        <v>1017</v>
      </c>
      <c r="L56" s="12"/>
      <c r="M56" s="13">
        <v>8.4</v>
      </c>
      <c r="N56" s="12"/>
      <c r="O56" s="13">
        <v>8.4</v>
      </c>
    </row>
    <row r="57" spans="1:15" ht="41.1" customHeight="1">
      <c r="A57" s="707" t="s">
        <v>216</v>
      </c>
      <c r="B57" s="707"/>
      <c r="C57" s="707"/>
      <c r="D57" s="62">
        <v>2</v>
      </c>
      <c r="E57" s="707" t="s">
        <v>849</v>
      </c>
      <c r="F57" s="707"/>
      <c r="G57" s="707"/>
      <c r="H57" s="75" t="s">
        <v>227</v>
      </c>
      <c r="I57" s="75" t="s">
        <v>1090</v>
      </c>
      <c r="J57" s="75" t="s">
        <v>431</v>
      </c>
      <c r="K57" s="75" t="s">
        <v>928</v>
      </c>
      <c r="L57" s="12"/>
      <c r="M57" s="13">
        <v>35.35</v>
      </c>
      <c r="N57" s="12"/>
      <c r="O57" s="13">
        <v>35.35</v>
      </c>
    </row>
    <row r="58" spans="1:15" ht="41.1" customHeight="1">
      <c r="A58" s="707" t="s">
        <v>216</v>
      </c>
      <c r="B58" s="707"/>
      <c r="C58" s="707"/>
      <c r="D58" s="62">
        <v>2</v>
      </c>
      <c r="E58" s="707" t="s">
        <v>850</v>
      </c>
      <c r="F58" s="707"/>
      <c r="G58" s="707"/>
      <c r="H58" s="75" t="s">
        <v>100</v>
      </c>
      <c r="I58" s="75" t="s">
        <v>1091</v>
      </c>
      <c r="J58" s="75" t="s">
        <v>431</v>
      </c>
      <c r="K58" s="75" t="s">
        <v>928</v>
      </c>
      <c r="L58" s="12"/>
      <c r="M58" s="13">
        <v>7</v>
      </c>
      <c r="N58" s="12"/>
      <c r="O58" s="13">
        <v>7</v>
      </c>
    </row>
    <row r="59" spans="1:15" ht="41.1" customHeight="1">
      <c r="A59" s="707" t="s">
        <v>216</v>
      </c>
      <c r="B59" s="707"/>
      <c r="C59" s="707"/>
      <c r="D59" s="62">
        <v>2</v>
      </c>
      <c r="E59" s="707" t="s">
        <v>851</v>
      </c>
      <c r="F59" s="707"/>
      <c r="G59" s="707"/>
      <c r="H59" s="75" t="s">
        <v>235</v>
      </c>
      <c r="I59" s="75" t="s">
        <v>1092</v>
      </c>
      <c r="J59" s="75" t="s">
        <v>431</v>
      </c>
      <c r="K59" s="75" t="s">
        <v>928</v>
      </c>
      <c r="L59" s="12"/>
      <c r="M59" s="13">
        <v>5.6</v>
      </c>
      <c r="N59" s="12"/>
      <c r="O59" s="13">
        <v>5.6</v>
      </c>
    </row>
    <row r="60" spans="1:15" ht="41.1" customHeight="1">
      <c r="A60" s="707" t="s">
        <v>216</v>
      </c>
      <c r="B60" s="707"/>
      <c r="C60" s="707"/>
      <c r="D60" s="62">
        <v>2</v>
      </c>
      <c r="E60" s="707" t="s">
        <v>851</v>
      </c>
      <c r="F60" s="707"/>
      <c r="G60" s="707"/>
      <c r="H60" s="75" t="s">
        <v>236</v>
      </c>
      <c r="I60" s="75" t="s">
        <v>1093</v>
      </c>
      <c r="J60" s="75" t="s">
        <v>431</v>
      </c>
      <c r="K60" s="75" t="s">
        <v>928</v>
      </c>
      <c r="L60" s="12"/>
      <c r="M60" s="13">
        <v>31.956</v>
      </c>
      <c r="N60" s="12"/>
      <c r="O60" s="13">
        <v>31.956</v>
      </c>
    </row>
    <row r="61" spans="1:15" ht="41.1" customHeight="1">
      <c r="A61" s="707" t="s">
        <v>216</v>
      </c>
      <c r="B61" s="707"/>
      <c r="C61" s="707"/>
      <c r="D61" s="62">
        <v>3</v>
      </c>
      <c r="E61" s="707" t="s">
        <v>851</v>
      </c>
      <c r="F61" s="707"/>
      <c r="G61" s="707"/>
      <c r="H61" s="75" t="s">
        <v>237</v>
      </c>
      <c r="I61" s="75" t="s">
        <v>1094</v>
      </c>
      <c r="J61" s="75" t="s">
        <v>431</v>
      </c>
      <c r="K61" s="75" t="s">
        <v>1018</v>
      </c>
      <c r="L61" s="13">
        <v>77.978999999999999</v>
      </c>
      <c r="M61" s="13">
        <v>70.813999999999993</v>
      </c>
      <c r="N61" s="12"/>
      <c r="O61" s="13">
        <v>148.79300000000001</v>
      </c>
    </row>
    <row r="62" spans="1:15" ht="41.1" customHeight="1">
      <c r="A62" s="707" t="s">
        <v>216</v>
      </c>
      <c r="B62" s="707"/>
      <c r="C62" s="707"/>
      <c r="D62" s="62">
        <v>3</v>
      </c>
      <c r="E62" s="707" t="s">
        <v>848</v>
      </c>
      <c r="F62" s="707"/>
      <c r="G62" s="707"/>
      <c r="H62" s="75" t="s">
        <v>260</v>
      </c>
      <c r="I62" s="75" t="s">
        <v>1095</v>
      </c>
      <c r="J62" s="75" t="s">
        <v>431</v>
      </c>
      <c r="K62" s="75" t="s">
        <v>1018</v>
      </c>
      <c r="L62" s="13">
        <v>14.125999999999999</v>
      </c>
      <c r="M62" s="13">
        <v>33.6</v>
      </c>
      <c r="N62" s="12"/>
      <c r="O62" s="13">
        <v>47.725999999999999</v>
      </c>
    </row>
    <row r="63" spans="1:15" ht="41.1" customHeight="1">
      <c r="A63" s="707" t="s">
        <v>216</v>
      </c>
      <c r="B63" s="707"/>
      <c r="C63" s="707"/>
      <c r="D63" s="62">
        <v>4</v>
      </c>
      <c r="E63" s="707" t="s">
        <v>852</v>
      </c>
      <c r="F63" s="707"/>
      <c r="G63" s="707"/>
      <c r="H63" s="75" t="s">
        <v>241</v>
      </c>
      <c r="I63" s="75" t="s">
        <v>1096</v>
      </c>
      <c r="J63" s="75" t="s">
        <v>431</v>
      </c>
      <c r="K63" s="75" t="s">
        <v>1019</v>
      </c>
      <c r="L63" s="13">
        <v>72.066999999999993</v>
      </c>
      <c r="M63" s="13">
        <v>104.01</v>
      </c>
      <c r="N63" s="12"/>
      <c r="O63" s="13">
        <v>176.077</v>
      </c>
    </row>
    <row r="64" spans="1:15" ht="41.1" customHeight="1">
      <c r="A64" s="707" t="s">
        <v>216</v>
      </c>
      <c r="B64" s="707"/>
      <c r="C64" s="707"/>
      <c r="D64" s="62">
        <v>4</v>
      </c>
      <c r="E64" s="707" t="s">
        <v>848</v>
      </c>
      <c r="F64" s="707"/>
      <c r="G64" s="707"/>
      <c r="H64" s="75" t="s">
        <v>263</v>
      </c>
      <c r="I64" s="75" t="s">
        <v>1097</v>
      </c>
      <c r="J64" s="75" t="s">
        <v>431</v>
      </c>
      <c r="K64" s="75" t="s">
        <v>1019</v>
      </c>
      <c r="L64" s="12"/>
      <c r="M64" s="13">
        <v>50.4</v>
      </c>
      <c r="N64" s="12"/>
      <c r="O64" s="13">
        <v>50.4</v>
      </c>
    </row>
    <row r="65" spans="1:15" ht="41.1" customHeight="1">
      <c r="A65" s="707" t="s">
        <v>216</v>
      </c>
      <c r="B65" s="707"/>
      <c r="C65" s="707"/>
      <c r="D65" s="62">
        <v>5</v>
      </c>
      <c r="E65" s="707" t="s">
        <v>853</v>
      </c>
      <c r="F65" s="707"/>
      <c r="G65" s="707"/>
      <c r="H65" s="75" t="s">
        <v>161</v>
      </c>
      <c r="I65" s="75" t="s">
        <v>1098</v>
      </c>
      <c r="J65" s="75" t="s">
        <v>404</v>
      </c>
      <c r="K65" s="75" t="s">
        <v>914</v>
      </c>
      <c r="L65" s="13">
        <v>6.1159999999999997</v>
      </c>
      <c r="M65" s="13">
        <v>19.509</v>
      </c>
      <c r="N65" s="12"/>
      <c r="O65" s="13">
        <v>25.625</v>
      </c>
    </row>
    <row r="66" spans="1:15" ht="41.1" customHeight="1">
      <c r="A66" s="707" t="s">
        <v>216</v>
      </c>
      <c r="B66" s="707"/>
      <c r="C66" s="707"/>
      <c r="D66" s="62">
        <v>5</v>
      </c>
      <c r="E66" s="707" t="s">
        <v>854</v>
      </c>
      <c r="F66" s="707"/>
      <c r="G66" s="707"/>
      <c r="H66" s="75" t="s">
        <v>288</v>
      </c>
      <c r="I66" s="75" t="s">
        <v>1099</v>
      </c>
      <c r="J66" s="75" t="s">
        <v>404</v>
      </c>
      <c r="K66" s="75" t="s">
        <v>914</v>
      </c>
      <c r="L66" s="12"/>
      <c r="M66" s="13">
        <v>4.9000000000000004</v>
      </c>
      <c r="N66" s="12"/>
      <c r="O66" s="13">
        <v>4.9000000000000004</v>
      </c>
    </row>
    <row r="67" spans="1:15" ht="41.1" customHeight="1">
      <c r="A67" s="707" t="s">
        <v>216</v>
      </c>
      <c r="B67" s="707"/>
      <c r="C67" s="707"/>
      <c r="D67" s="62">
        <v>5</v>
      </c>
      <c r="E67" s="707" t="s">
        <v>1020</v>
      </c>
      <c r="F67" s="707"/>
      <c r="G67" s="707"/>
      <c r="H67" s="75" t="s">
        <v>279</v>
      </c>
      <c r="I67" s="75" t="s">
        <v>1100</v>
      </c>
      <c r="J67" s="75" t="s">
        <v>431</v>
      </c>
      <c r="K67" s="75" t="s">
        <v>914</v>
      </c>
      <c r="L67" s="12"/>
      <c r="M67" s="13">
        <v>16.698</v>
      </c>
      <c r="N67" s="12"/>
      <c r="O67" s="13">
        <v>16.698</v>
      </c>
    </row>
    <row r="68" spans="1:15" ht="41.1" customHeight="1">
      <c r="A68" s="707" t="s">
        <v>216</v>
      </c>
      <c r="B68" s="707"/>
      <c r="C68" s="707"/>
      <c r="D68" s="62">
        <v>5</v>
      </c>
      <c r="E68" s="707" t="s">
        <v>855</v>
      </c>
      <c r="F68" s="707"/>
      <c r="G68" s="707"/>
      <c r="H68" s="75" t="s">
        <v>670</v>
      </c>
      <c r="I68" s="75" t="s">
        <v>1101</v>
      </c>
      <c r="J68" s="75" t="s">
        <v>431</v>
      </c>
      <c r="K68" s="75" t="s">
        <v>914</v>
      </c>
      <c r="L68" s="13">
        <v>42.707999999999998</v>
      </c>
      <c r="M68" s="13">
        <v>6.93</v>
      </c>
      <c r="N68" s="12"/>
      <c r="O68" s="13">
        <v>49.637999999999998</v>
      </c>
    </row>
    <row r="69" spans="1:15" ht="41.1" customHeight="1">
      <c r="A69" s="707" t="s">
        <v>216</v>
      </c>
      <c r="B69" s="707"/>
      <c r="C69" s="707"/>
      <c r="D69" s="62">
        <v>6</v>
      </c>
      <c r="E69" s="707" t="s">
        <v>851</v>
      </c>
      <c r="F69" s="707"/>
      <c r="G69" s="707"/>
      <c r="H69" s="75" t="s">
        <v>238</v>
      </c>
      <c r="I69" s="75" t="s">
        <v>1102</v>
      </c>
      <c r="J69" s="75" t="s">
        <v>431</v>
      </c>
      <c r="K69" s="75" t="s">
        <v>1021</v>
      </c>
      <c r="L69" s="12"/>
      <c r="M69" s="13">
        <v>24</v>
      </c>
      <c r="N69" s="12"/>
      <c r="O69" s="13">
        <v>24</v>
      </c>
    </row>
    <row r="70" spans="1:15" ht="41.1" customHeight="1">
      <c r="A70" s="707" t="s">
        <v>216</v>
      </c>
      <c r="B70" s="707"/>
      <c r="C70" s="707"/>
      <c r="D70" s="62">
        <v>6</v>
      </c>
      <c r="E70" s="707" t="s">
        <v>856</v>
      </c>
      <c r="F70" s="707"/>
      <c r="G70" s="707"/>
      <c r="H70" s="75" t="s">
        <v>265</v>
      </c>
      <c r="I70" s="75" t="s">
        <v>1103</v>
      </c>
      <c r="J70" s="75" t="s">
        <v>431</v>
      </c>
      <c r="K70" s="75" t="s">
        <v>1021</v>
      </c>
      <c r="L70" s="13">
        <v>28.465</v>
      </c>
      <c r="M70" s="13">
        <v>35.122</v>
      </c>
      <c r="N70" s="12"/>
      <c r="O70" s="13">
        <v>63.587000000000003</v>
      </c>
    </row>
    <row r="71" spans="1:15" ht="41.1" customHeight="1">
      <c r="A71" s="707" t="s">
        <v>216</v>
      </c>
      <c r="B71" s="707"/>
      <c r="C71" s="707"/>
      <c r="D71" s="62">
        <v>6</v>
      </c>
      <c r="E71" s="707" t="s">
        <v>856</v>
      </c>
      <c r="F71" s="707"/>
      <c r="G71" s="707"/>
      <c r="H71" s="75" t="s">
        <v>53</v>
      </c>
      <c r="I71" s="75" t="s">
        <v>1104</v>
      </c>
      <c r="J71" s="75" t="s">
        <v>431</v>
      </c>
      <c r="K71" s="75" t="s">
        <v>1021</v>
      </c>
      <c r="L71" s="13">
        <v>7.0110000000000001</v>
      </c>
      <c r="M71" s="13">
        <v>45.5</v>
      </c>
      <c r="N71" s="12"/>
      <c r="O71" s="13">
        <v>52.511000000000003</v>
      </c>
    </row>
    <row r="72" spans="1:15" ht="41.1" customHeight="1">
      <c r="A72" s="707" t="s">
        <v>216</v>
      </c>
      <c r="B72" s="707"/>
      <c r="C72" s="707"/>
      <c r="D72" s="62">
        <v>6</v>
      </c>
      <c r="E72" s="707" t="s">
        <v>855</v>
      </c>
      <c r="F72" s="707"/>
      <c r="G72" s="707"/>
      <c r="H72" s="75" t="s">
        <v>715</v>
      </c>
      <c r="I72" s="75" t="s">
        <v>1105</v>
      </c>
      <c r="J72" s="75" t="s">
        <v>431</v>
      </c>
      <c r="K72" s="75" t="s">
        <v>1021</v>
      </c>
      <c r="L72" s="13">
        <v>5.21</v>
      </c>
      <c r="M72" s="12"/>
      <c r="N72" s="12"/>
      <c r="O72" s="13">
        <v>5.21</v>
      </c>
    </row>
    <row r="73" spans="1:15" ht="41.1" customHeight="1">
      <c r="A73" s="707" t="s">
        <v>216</v>
      </c>
      <c r="B73" s="707"/>
      <c r="C73" s="707"/>
      <c r="D73" s="62">
        <v>7</v>
      </c>
      <c r="E73" s="707" t="s">
        <v>857</v>
      </c>
      <c r="F73" s="707"/>
      <c r="G73" s="707"/>
      <c r="H73" s="75" t="s">
        <v>285</v>
      </c>
      <c r="I73" s="75" t="s">
        <v>1106</v>
      </c>
      <c r="J73" s="75" t="s">
        <v>431</v>
      </c>
      <c r="K73" s="75" t="s">
        <v>1022</v>
      </c>
      <c r="L73" s="12"/>
      <c r="M73" s="13">
        <v>4.2</v>
      </c>
      <c r="N73" s="12"/>
      <c r="O73" s="13">
        <v>4.2</v>
      </c>
    </row>
    <row r="74" spans="1:15" ht="41.1" customHeight="1">
      <c r="A74" s="707" t="s">
        <v>216</v>
      </c>
      <c r="B74" s="707"/>
      <c r="C74" s="707"/>
      <c r="D74" s="62">
        <v>7</v>
      </c>
      <c r="E74" s="707" t="s">
        <v>858</v>
      </c>
      <c r="F74" s="707"/>
      <c r="G74" s="707"/>
      <c r="H74" s="75" t="s">
        <v>247</v>
      </c>
      <c r="I74" s="75" t="s">
        <v>1107</v>
      </c>
      <c r="J74" s="75" t="s">
        <v>431</v>
      </c>
      <c r="K74" s="75" t="s">
        <v>1022</v>
      </c>
      <c r="L74" s="12"/>
      <c r="M74" s="13">
        <v>12.6</v>
      </c>
      <c r="N74" s="12"/>
      <c r="O74" s="13">
        <v>12.6</v>
      </c>
    </row>
    <row r="75" spans="1:15" ht="41.1" customHeight="1">
      <c r="A75" s="707" t="s">
        <v>216</v>
      </c>
      <c r="B75" s="707"/>
      <c r="C75" s="707"/>
      <c r="D75" s="62">
        <v>7</v>
      </c>
      <c r="E75" s="707" t="s">
        <v>858</v>
      </c>
      <c r="F75" s="707"/>
      <c r="G75" s="707"/>
      <c r="H75" s="75" t="s">
        <v>248</v>
      </c>
      <c r="I75" s="75" t="s">
        <v>1108</v>
      </c>
      <c r="J75" s="75" t="s">
        <v>431</v>
      </c>
      <c r="K75" s="75" t="s">
        <v>1022</v>
      </c>
      <c r="L75" s="12"/>
      <c r="M75" s="13">
        <v>67.2</v>
      </c>
      <c r="N75" s="12"/>
      <c r="O75" s="13">
        <v>67.2</v>
      </c>
    </row>
    <row r="76" spans="1:15" ht="41.1" customHeight="1">
      <c r="A76" s="707" t="s">
        <v>296</v>
      </c>
      <c r="B76" s="707"/>
      <c r="C76" s="707"/>
      <c r="D76" s="62">
        <v>1</v>
      </c>
      <c r="E76" s="707" t="s">
        <v>859</v>
      </c>
      <c r="F76" s="707"/>
      <c r="G76" s="707"/>
      <c r="H76" s="75" t="s">
        <v>350</v>
      </c>
      <c r="I76" s="75" t="s">
        <v>1109</v>
      </c>
      <c r="J76" s="75" t="s">
        <v>431</v>
      </c>
      <c r="K76" s="75" t="s">
        <v>923</v>
      </c>
      <c r="L76" s="13">
        <v>41.124000000000002</v>
      </c>
      <c r="M76" s="13">
        <v>50.4</v>
      </c>
      <c r="N76" s="12"/>
      <c r="O76" s="13">
        <v>91.524000000000001</v>
      </c>
    </row>
    <row r="77" spans="1:15" ht="41.1" customHeight="1">
      <c r="A77" s="707" t="s">
        <v>296</v>
      </c>
      <c r="B77" s="707"/>
      <c r="C77" s="707"/>
      <c r="D77" s="62">
        <v>10</v>
      </c>
      <c r="E77" s="707" t="s">
        <v>860</v>
      </c>
      <c r="F77" s="707"/>
      <c r="G77" s="707"/>
      <c r="H77" s="75" t="s">
        <v>319</v>
      </c>
      <c r="I77" s="75" t="s">
        <v>1110</v>
      </c>
      <c r="J77" s="75" t="s">
        <v>431</v>
      </c>
      <c r="K77" s="75" t="s">
        <v>1024</v>
      </c>
      <c r="L77" s="13">
        <v>56.387999999999998</v>
      </c>
      <c r="M77" s="13">
        <v>91.703000000000003</v>
      </c>
      <c r="N77" s="13">
        <v>376.63</v>
      </c>
      <c r="O77" s="13">
        <v>524.721</v>
      </c>
    </row>
    <row r="78" spans="1:15" ht="41.1" customHeight="1">
      <c r="A78" s="707" t="s">
        <v>296</v>
      </c>
      <c r="B78" s="707"/>
      <c r="C78" s="707"/>
      <c r="D78" s="62">
        <v>10</v>
      </c>
      <c r="E78" s="707" t="s">
        <v>860</v>
      </c>
      <c r="F78" s="707"/>
      <c r="G78" s="707"/>
      <c r="H78" s="75" t="s">
        <v>320</v>
      </c>
      <c r="I78" s="75" t="s">
        <v>1111</v>
      </c>
      <c r="J78" s="75" t="s">
        <v>431</v>
      </c>
      <c r="K78" s="75" t="s">
        <v>1024</v>
      </c>
      <c r="L78" s="13">
        <v>26.54</v>
      </c>
      <c r="M78" s="13">
        <v>77.55</v>
      </c>
      <c r="N78" s="12"/>
      <c r="O78" s="13">
        <v>104.09</v>
      </c>
    </row>
    <row r="79" spans="1:15" ht="41.1" customHeight="1">
      <c r="A79" s="707" t="s">
        <v>296</v>
      </c>
      <c r="B79" s="707"/>
      <c r="C79" s="707"/>
      <c r="D79" s="62">
        <v>2</v>
      </c>
      <c r="E79" s="707" t="s">
        <v>861</v>
      </c>
      <c r="F79" s="707"/>
      <c r="G79" s="707"/>
      <c r="H79" s="75" t="s">
        <v>353</v>
      </c>
      <c r="I79" s="75" t="s">
        <v>1112</v>
      </c>
      <c r="J79" s="75" t="s">
        <v>431</v>
      </c>
      <c r="K79" s="75" t="s">
        <v>930</v>
      </c>
      <c r="L79" s="12"/>
      <c r="M79" s="13">
        <v>8.4</v>
      </c>
      <c r="N79" s="12"/>
      <c r="O79" s="13">
        <v>8.4</v>
      </c>
    </row>
    <row r="80" spans="1:15" ht="41.1" customHeight="1">
      <c r="A80" s="707" t="s">
        <v>296</v>
      </c>
      <c r="B80" s="707"/>
      <c r="C80" s="707"/>
      <c r="D80" s="62">
        <v>2</v>
      </c>
      <c r="E80" s="707" t="s">
        <v>862</v>
      </c>
      <c r="F80" s="707"/>
      <c r="G80" s="707"/>
      <c r="H80" s="75" t="s">
        <v>335</v>
      </c>
      <c r="I80" s="75" t="s">
        <v>1113</v>
      </c>
      <c r="J80" s="75" t="s">
        <v>431</v>
      </c>
      <c r="K80" s="75" t="s">
        <v>930</v>
      </c>
      <c r="L80" s="13">
        <v>39.24</v>
      </c>
      <c r="M80" s="13">
        <v>98.7</v>
      </c>
      <c r="N80" s="12"/>
      <c r="O80" s="13">
        <v>137.94</v>
      </c>
    </row>
    <row r="81" spans="1:15" ht="41.1" customHeight="1">
      <c r="A81" s="707" t="s">
        <v>296</v>
      </c>
      <c r="B81" s="707"/>
      <c r="C81" s="707"/>
      <c r="D81" s="62">
        <v>2</v>
      </c>
      <c r="E81" s="707" t="s">
        <v>863</v>
      </c>
      <c r="F81" s="707"/>
      <c r="G81" s="707"/>
      <c r="H81" s="75" t="s">
        <v>337</v>
      </c>
      <c r="I81" s="75" t="s">
        <v>1114</v>
      </c>
      <c r="J81" s="75" t="s">
        <v>431</v>
      </c>
      <c r="K81" s="75" t="s">
        <v>930</v>
      </c>
      <c r="L81" s="13">
        <v>26.013000000000002</v>
      </c>
      <c r="M81" s="12"/>
      <c r="N81" s="12"/>
      <c r="O81" s="13">
        <v>26.013000000000002</v>
      </c>
    </row>
    <row r="82" spans="1:15" ht="41.1" customHeight="1">
      <c r="A82" s="707" t="s">
        <v>296</v>
      </c>
      <c r="B82" s="707"/>
      <c r="C82" s="707"/>
      <c r="D82" s="62">
        <v>3</v>
      </c>
      <c r="E82" s="707" t="s">
        <v>864</v>
      </c>
      <c r="F82" s="707"/>
      <c r="G82" s="707"/>
      <c r="H82" s="75" t="s">
        <v>36</v>
      </c>
      <c r="I82" s="75" t="s">
        <v>1115</v>
      </c>
      <c r="J82" s="75" t="s">
        <v>404</v>
      </c>
      <c r="K82" s="75" t="s">
        <v>932</v>
      </c>
      <c r="L82" s="13">
        <v>30.695</v>
      </c>
      <c r="M82" s="13">
        <v>4.2</v>
      </c>
      <c r="N82" s="12"/>
      <c r="O82" s="13">
        <v>34.895000000000003</v>
      </c>
    </row>
    <row r="83" spans="1:15" ht="41.1" customHeight="1">
      <c r="A83" s="707" t="s">
        <v>296</v>
      </c>
      <c r="B83" s="707"/>
      <c r="C83" s="707"/>
      <c r="D83" s="62">
        <v>3</v>
      </c>
      <c r="E83" s="707" t="s">
        <v>865</v>
      </c>
      <c r="F83" s="707"/>
      <c r="G83" s="707"/>
      <c r="H83" s="75" t="s">
        <v>314</v>
      </c>
      <c r="I83" s="75" t="s">
        <v>1116</v>
      </c>
      <c r="J83" s="75" t="s">
        <v>431</v>
      </c>
      <c r="K83" s="75" t="s">
        <v>932</v>
      </c>
      <c r="L83" s="12"/>
      <c r="M83" s="13">
        <v>24.82</v>
      </c>
      <c r="N83" s="13">
        <v>150.88</v>
      </c>
      <c r="O83" s="13">
        <v>175.7</v>
      </c>
    </row>
    <row r="84" spans="1:15" ht="41.1" customHeight="1">
      <c r="A84" s="707" t="s">
        <v>296</v>
      </c>
      <c r="B84" s="707"/>
      <c r="C84" s="707"/>
      <c r="D84" s="62">
        <v>3</v>
      </c>
      <c r="E84" s="707" t="s">
        <v>866</v>
      </c>
      <c r="F84" s="707"/>
      <c r="G84" s="707"/>
      <c r="H84" s="75" t="s">
        <v>273</v>
      </c>
      <c r="I84" s="75" t="s">
        <v>1117</v>
      </c>
      <c r="J84" s="75" t="s">
        <v>431</v>
      </c>
      <c r="K84" s="75" t="s">
        <v>932</v>
      </c>
      <c r="L84" s="12"/>
      <c r="M84" s="13">
        <v>1.4</v>
      </c>
      <c r="N84" s="12"/>
      <c r="O84" s="13">
        <v>1.4</v>
      </c>
    </row>
    <row r="85" spans="1:15" ht="41.1" customHeight="1">
      <c r="A85" s="707" t="s">
        <v>296</v>
      </c>
      <c r="B85" s="707"/>
      <c r="C85" s="707"/>
      <c r="D85" s="62">
        <v>3</v>
      </c>
      <c r="E85" s="707" t="s">
        <v>866</v>
      </c>
      <c r="F85" s="707"/>
      <c r="G85" s="707"/>
      <c r="H85" s="75" t="s">
        <v>67</v>
      </c>
      <c r="I85" s="75" t="s">
        <v>1118</v>
      </c>
      <c r="J85" s="75" t="s">
        <v>431</v>
      </c>
      <c r="K85" s="75" t="s">
        <v>932</v>
      </c>
      <c r="L85" s="13">
        <v>23.31</v>
      </c>
      <c r="M85" s="12"/>
      <c r="N85" s="12"/>
      <c r="O85" s="13">
        <v>23.31</v>
      </c>
    </row>
    <row r="86" spans="1:15" ht="41.1" customHeight="1">
      <c r="A86" s="707" t="s">
        <v>296</v>
      </c>
      <c r="B86" s="707"/>
      <c r="C86" s="707"/>
      <c r="D86" s="62">
        <v>3</v>
      </c>
      <c r="E86" s="707" t="s">
        <v>867</v>
      </c>
      <c r="F86" s="707"/>
      <c r="G86" s="707"/>
      <c r="H86" s="75" t="s">
        <v>308</v>
      </c>
      <c r="I86" s="75" t="s">
        <v>1119</v>
      </c>
      <c r="J86" s="75" t="s">
        <v>431</v>
      </c>
      <c r="K86" s="75" t="s">
        <v>932</v>
      </c>
      <c r="L86" s="12"/>
      <c r="M86" s="13">
        <v>2.8</v>
      </c>
      <c r="N86" s="12"/>
      <c r="O86" s="13">
        <v>2.8</v>
      </c>
    </row>
    <row r="87" spans="1:15" ht="41.1" customHeight="1">
      <c r="A87" s="707" t="s">
        <v>296</v>
      </c>
      <c r="B87" s="707"/>
      <c r="C87" s="707"/>
      <c r="D87" s="62">
        <v>4</v>
      </c>
      <c r="E87" s="707" t="s">
        <v>864</v>
      </c>
      <c r="F87" s="707"/>
      <c r="G87" s="707"/>
      <c r="H87" s="75" t="s">
        <v>303</v>
      </c>
      <c r="I87" s="75" t="s">
        <v>1120</v>
      </c>
      <c r="J87" s="75" t="s">
        <v>404</v>
      </c>
      <c r="K87" s="75" t="s">
        <v>1025</v>
      </c>
      <c r="L87" s="12"/>
      <c r="M87" s="13">
        <v>9.1</v>
      </c>
      <c r="N87" s="12"/>
      <c r="O87" s="13">
        <v>9.1</v>
      </c>
    </row>
    <row r="88" spans="1:15" ht="41.1" customHeight="1">
      <c r="A88" s="707" t="s">
        <v>296</v>
      </c>
      <c r="B88" s="707"/>
      <c r="C88" s="707"/>
      <c r="D88" s="62">
        <v>4</v>
      </c>
      <c r="E88" s="707" t="s">
        <v>868</v>
      </c>
      <c r="F88" s="707"/>
      <c r="G88" s="707"/>
      <c r="H88" s="75" t="s">
        <v>72</v>
      </c>
      <c r="I88" s="75" t="s">
        <v>1121</v>
      </c>
      <c r="J88" s="75" t="s">
        <v>404</v>
      </c>
      <c r="K88" s="75" t="s">
        <v>1025</v>
      </c>
      <c r="L88" s="12"/>
      <c r="M88" s="13">
        <v>16.8</v>
      </c>
      <c r="N88" s="12"/>
      <c r="O88" s="13">
        <v>16.8</v>
      </c>
    </row>
    <row r="89" spans="1:15" ht="41.1" customHeight="1">
      <c r="A89" s="707" t="s">
        <v>296</v>
      </c>
      <c r="B89" s="707"/>
      <c r="C89" s="707"/>
      <c r="D89" s="62">
        <v>4</v>
      </c>
      <c r="E89" s="707" t="s">
        <v>866</v>
      </c>
      <c r="F89" s="707"/>
      <c r="G89" s="707"/>
      <c r="H89" s="75" t="s">
        <v>364</v>
      </c>
      <c r="I89" s="75" t="s">
        <v>1122</v>
      </c>
      <c r="J89" s="75" t="s">
        <v>431</v>
      </c>
      <c r="K89" s="75" t="s">
        <v>1025</v>
      </c>
      <c r="L89" s="12"/>
      <c r="M89" s="13">
        <v>23.8</v>
      </c>
      <c r="N89" s="12"/>
      <c r="O89" s="13">
        <v>23.8</v>
      </c>
    </row>
    <row r="90" spans="1:15" ht="41.1" customHeight="1">
      <c r="A90" s="707" t="s">
        <v>296</v>
      </c>
      <c r="B90" s="707"/>
      <c r="C90" s="707"/>
      <c r="D90" s="62">
        <v>4</v>
      </c>
      <c r="E90" s="707" t="s">
        <v>869</v>
      </c>
      <c r="F90" s="707"/>
      <c r="G90" s="707"/>
      <c r="H90" s="75" t="s">
        <v>369</v>
      </c>
      <c r="I90" s="75" t="s">
        <v>1123</v>
      </c>
      <c r="J90" s="75" t="s">
        <v>431</v>
      </c>
      <c r="K90" s="75" t="s">
        <v>1025</v>
      </c>
      <c r="L90" s="13">
        <v>10.074999999999999</v>
      </c>
      <c r="M90" s="12"/>
      <c r="N90" s="12"/>
      <c r="O90" s="13">
        <v>10.074999999999999</v>
      </c>
    </row>
    <row r="91" spans="1:15" ht="41.1" customHeight="1">
      <c r="A91" s="707" t="s">
        <v>296</v>
      </c>
      <c r="B91" s="707"/>
      <c r="C91" s="707"/>
      <c r="D91" s="62">
        <v>4</v>
      </c>
      <c r="E91" s="707" t="s">
        <v>869</v>
      </c>
      <c r="F91" s="707"/>
      <c r="G91" s="707"/>
      <c r="H91" s="75" t="s">
        <v>370</v>
      </c>
      <c r="I91" s="75" t="s">
        <v>1124</v>
      </c>
      <c r="J91" s="75" t="s">
        <v>431</v>
      </c>
      <c r="K91" s="75" t="s">
        <v>1025</v>
      </c>
      <c r="L91" s="13">
        <v>9.8490000000000002</v>
      </c>
      <c r="M91" s="13">
        <v>7.94</v>
      </c>
      <c r="N91" s="12"/>
      <c r="O91" s="13">
        <v>17.789000000000001</v>
      </c>
    </row>
    <row r="92" spans="1:15" ht="41.1" customHeight="1">
      <c r="A92" s="707" t="s">
        <v>296</v>
      </c>
      <c r="B92" s="707"/>
      <c r="C92" s="707"/>
      <c r="D92" s="62">
        <v>4</v>
      </c>
      <c r="E92" s="707" t="s">
        <v>869</v>
      </c>
      <c r="F92" s="707"/>
      <c r="G92" s="707"/>
      <c r="H92" s="75" t="s">
        <v>368</v>
      </c>
      <c r="I92" s="75" t="s">
        <v>1125</v>
      </c>
      <c r="J92" s="75" t="s">
        <v>431</v>
      </c>
      <c r="K92" s="75" t="s">
        <v>1025</v>
      </c>
      <c r="L92" s="13">
        <v>20.125</v>
      </c>
      <c r="M92" s="13">
        <v>2.1</v>
      </c>
      <c r="N92" s="12"/>
      <c r="O92" s="13">
        <v>22.225000000000001</v>
      </c>
    </row>
    <row r="93" spans="1:15" ht="41.1" customHeight="1">
      <c r="A93" s="707" t="s">
        <v>296</v>
      </c>
      <c r="B93" s="707"/>
      <c r="C93" s="707"/>
      <c r="D93" s="62">
        <v>5</v>
      </c>
      <c r="E93" s="707" t="s">
        <v>862</v>
      </c>
      <c r="F93" s="707"/>
      <c r="G93" s="707"/>
      <c r="H93" s="75" t="s">
        <v>345</v>
      </c>
      <c r="I93" s="75" t="s">
        <v>1126</v>
      </c>
      <c r="J93" s="75" t="s">
        <v>431</v>
      </c>
      <c r="K93" s="75" t="s">
        <v>1026</v>
      </c>
      <c r="L93" s="12"/>
      <c r="M93" s="13">
        <v>4.2</v>
      </c>
      <c r="N93" s="12"/>
      <c r="O93" s="13">
        <v>4.2</v>
      </c>
    </row>
    <row r="94" spans="1:15" ht="41.1" customHeight="1">
      <c r="A94" s="707" t="s">
        <v>296</v>
      </c>
      <c r="B94" s="707"/>
      <c r="C94" s="707"/>
      <c r="D94" s="62">
        <v>6</v>
      </c>
      <c r="E94" s="707" t="s">
        <v>864</v>
      </c>
      <c r="F94" s="707"/>
      <c r="G94" s="707"/>
      <c r="H94" s="75" t="s">
        <v>304</v>
      </c>
      <c r="I94" s="75" t="s">
        <v>1127</v>
      </c>
      <c r="J94" s="75" t="s">
        <v>404</v>
      </c>
      <c r="K94" s="75" t="s">
        <v>925</v>
      </c>
      <c r="L94" s="12"/>
      <c r="M94" s="13">
        <v>9.8000000000000007</v>
      </c>
      <c r="N94" s="12"/>
      <c r="O94" s="13">
        <v>9.8000000000000007</v>
      </c>
    </row>
    <row r="95" spans="1:15" ht="41.1" customHeight="1">
      <c r="A95" s="707" t="s">
        <v>296</v>
      </c>
      <c r="B95" s="707"/>
      <c r="C95" s="707"/>
      <c r="D95" s="62">
        <v>6</v>
      </c>
      <c r="E95" s="707" t="s">
        <v>869</v>
      </c>
      <c r="F95" s="707"/>
      <c r="G95" s="707"/>
      <c r="H95" s="75" t="s">
        <v>371</v>
      </c>
      <c r="I95" s="75" t="s">
        <v>1128</v>
      </c>
      <c r="J95" s="75" t="s">
        <v>431</v>
      </c>
      <c r="K95" s="75" t="s">
        <v>925</v>
      </c>
      <c r="L95" s="13">
        <v>25.391999999999999</v>
      </c>
      <c r="M95" s="12"/>
      <c r="N95" s="12"/>
      <c r="O95" s="13">
        <v>25.391999999999999</v>
      </c>
    </row>
    <row r="96" spans="1:15" ht="41.1" customHeight="1">
      <c r="A96" s="707" t="s">
        <v>296</v>
      </c>
      <c r="B96" s="707"/>
      <c r="C96" s="707"/>
      <c r="D96" s="62">
        <v>6</v>
      </c>
      <c r="E96" s="707" t="s">
        <v>862</v>
      </c>
      <c r="F96" s="707"/>
      <c r="G96" s="707"/>
      <c r="H96" s="75" t="s">
        <v>346</v>
      </c>
      <c r="I96" s="75" t="s">
        <v>1129</v>
      </c>
      <c r="J96" s="75" t="s">
        <v>431</v>
      </c>
      <c r="K96" s="75" t="s">
        <v>925</v>
      </c>
      <c r="L96" s="13">
        <v>15.808999999999999</v>
      </c>
      <c r="M96" s="13">
        <v>92.4</v>
      </c>
      <c r="N96" s="12"/>
      <c r="O96" s="13">
        <v>108.209</v>
      </c>
    </row>
    <row r="97" spans="1:15" ht="41.1" customHeight="1">
      <c r="A97" s="707" t="s">
        <v>296</v>
      </c>
      <c r="B97" s="707"/>
      <c r="C97" s="707"/>
      <c r="D97" s="62">
        <v>6</v>
      </c>
      <c r="E97" s="707" t="s">
        <v>867</v>
      </c>
      <c r="F97" s="707"/>
      <c r="G97" s="707"/>
      <c r="H97" s="75" t="s">
        <v>313</v>
      </c>
      <c r="I97" s="75" t="s">
        <v>1130</v>
      </c>
      <c r="J97" s="75" t="s">
        <v>431</v>
      </c>
      <c r="K97" s="75" t="s">
        <v>925</v>
      </c>
      <c r="L97" s="12"/>
      <c r="M97" s="13">
        <v>4.9000000000000004</v>
      </c>
      <c r="N97" s="12"/>
      <c r="O97" s="13">
        <v>4.9000000000000004</v>
      </c>
    </row>
    <row r="98" spans="1:15" ht="41.1" customHeight="1">
      <c r="A98" s="707" t="s">
        <v>296</v>
      </c>
      <c r="B98" s="707"/>
      <c r="C98" s="707"/>
      <c r="D98" s="62">
        <v>7</v>
      </c>
      <c r="E98" s="707" t="s">
        <v>862</v>
      </c>
      <c r="F98" s="707"/>
      <c r="G98" s="707"/>
      <c r="H98" s="75" t="s">
        <v>191</v>
      </c>
      <c r="I98" s="75" t="s">
        <v>1131</v>
      </c>
      <c r="J98" s="75" t="s">
        <v>431</v>
      </c>
      <c r="K98" s="75" t="s">
        <v>933</v>
      </c>
      <c r="L98" s="12"/>
      <c r="M98" s="13">
        <v>4.2</v>
      </c>
      <c r="N98" s="12"/>
      <c r="O98" s="13">
        <v>4.2</v>
      </c>
    </row>
    <row r="99" spans="1:15" ht="41.1" customHeight="1">
      <c r="A99" s="707" t="s">
        <v>296</v>
      </c>
      <c r="B99" s="707"/>
      <c r="C99" s="707"/>
      <c r="D99" s="62">
        <v>7</v>
      </c>
      <c r="E99" s="707" t="s">
        <v>870</v>
      </c>
      <c r="F99" s="707"/>
      <c r="G99" s="707"/>
      <c r="H99" s="75" t="s">
        <v>336</v>
      </c>
      <c r="I99" s="75" t="s">
        <v>1132</v>
      </c>
      <c r="J99" s="75" t="s">
        <v>431</v>
      </c>
      <c r="K99" s="75" t="s">
        <v>933</v>
      </c>
      <c r="L99" s="12"/>
      <c r="M99" s="13">
        <v>21</v>
      </c>
      <c r="N99" s="12"/>
      <c r="O99" s="13">
        <v>21</v>
      </c>
    </row>
    <row r="100" spans="1:15" ht="41.1" customHeight="1">
      <c r="A100" s="707" t="s">
        <v>296</v>
      </c>
      <c r="B100" s="707"/>
      <c r="C100" s="707"/>
      <c r="D100" s="62">
        <v>8</v>
      </c>
      <c r="E100" s="707" t="s">
        <v>866</v>
      </c>
      <c r="F100" s="707"/>
      <c r="G100" s="707"/>
      <c r="H100" s="75" t="s">
        <v>232</v>
      </c>
      <c r="I100" s="75" t="s">
        <v>1133</v>
      </c>
      <c r="J100" s="75" t="s">
        <v>431</v>
      </c>
      <c r="K100" s="75" t="s">
        <v>1027</v>
      </c>
      <c r="L100" s="13">
        <v>21.507999999999999</v>
      </c>
      <c r="M100" s="13">
        <v>29.4</v>
      </c>
      <c r="N100" s="12"/>
      <c r="O100" s="13">
        <v>50.908000000000001</v>
      </c>
    </row>
    <row r="101" spans="1:15" ht="41.1" customHeight="1">
      <c r="A101" s="707" t="s">
        <v>296</v>
      </c>
      <c r="B101" s="707"/>
      <c r="C101" s="707"/>
      <c r="D101" s="62">
        <v>8</v>
      </c>
      <c r="E101" s="707" t="s">
        <v>871</v>
      </c>
      <c r="F101" s="707"/>
      <c r="G101" s="707"/>
      <c r="H101" s="75" t="s">
        <v>340</v>
      </c>
      <c r="I101" s="75" t="s">
        <v>1134</v>
      </c>
      <c r="J101" s="75" t="s">
        <v>431</v>
      </c>
      <c r="K101" s="75" t="s">
        <v>1027</v>
      </c>
      <c r="L101" s="13">
        <v>7.9210000000000003</v>
      </c>
      <c r="M101" s="13">
        <v>8.4</v>
      </c>
      <c r="N101" s="12"/>
      <c r="O101" s="13">
        <v>16.321000000000002</v>
      </c>
    </row>
    <row r="102" spans="1:15" ht="41.1" customHeight="1">
      <c r="A102" s="707" t="s">
        <v>296</v>
      </c>
      <c r="B102" s="707"/>
      <c r="C102" s="707"/>
      <c r="D102" s="62">
        <v>8</v>
      </c>
      <c r="E102" s="707" t="s">
        <v>871</v>
      </c>
      <c r="F102" s="707"/>
      <c r="G102" s="707"/>
      <c r="H102" s="75" t="s">
        <v>300</v>
      </c>
      <c r="I102" s="75" t="s">
        <v>1135</v>
      </c>
      <c r="J102" s="75" t="s">
        <v>431</v>
      </c>
      <c r="K102" s="75" t="s">
        <v>1027</v>
      </c>
      <c r="L102" s="12"/>
      <c r="M102" s="13">
        <v>4.2</v>
      </c>
      <c r="N102" s="12"/>
      <c r="O102" s="13">
        <v>4.2</v>
      </c>
    </row>
    <row r="103" spans="1:15" ht="41.1" customHeight="1">
      <c r="A103" s="707" t="s">
        <v>296</v>
      </c>
      <c r="B103" s="707"/>
      <c r="C103" s="707"/>
      <c r="D103" s="62">
        <v>8</v>
      </c>
      <c r="E103" s="707" t="s">
        <v>871</v>
      </c>
      <c r="F103" s="707"/>
      <c r="G103" s="707"/>
      <c r="H103" s="75" t="s">
        <v>243</v>
      </c>
      <c r="I103" s="75" t="s">
        <v>1136</v>
      </c>
      <c r="J103" s="75" t="s">
        <v>431</v>
      </c>
      <c r="K103" s="75" t="s">
        <v>1027</v>
      </c>
      <c r="L103" s="13">
        <v>2.4769999999999999</v>
      </c>
      <c r="M103" s="13">
        <v>12.6</v>
      </c>
      <c r="N103" s="12"/>
      <c r="O103" s="13">
        <v>15.077</v>
      </c>
    </row>
    <row r="104" spans="1:15" ht="41.1" customHeight="1">
      <c r="A104" s="707" t="s">
        <v>296</v>
      </c>
      <c r="B104" s="707"/>
      <c r="C104" s="707"/>
      <c r="D104" s="62">
        <v>8</v>
      </c>
      <c r="E104" s="707" t="s">
        <v>871</v>
      </c>
      <c r="F104" s="707"/>
      <c r="G104" s="707"/>
      <c r="H104" s="75" t="s">
        <v>339</v>
      </c>
      <c r="I104" s="75" t="s">
        <v>1137</v>
      </c>
      <c r="J104" s="75" t="s">
        <v>431</v>
      </c>
      <c r="K104" s="75" t="s">
        <v>1027</v>
      </c>
      <c r="L104" s="12"/>
      <c r="M104" s="13">
        <v>8.4</v>
      </c>
      <c r="N104" s="12"/>
      <c r="O104" s="13">
        <v>8.4</v>
      </c>
    </row>
    <row r="105" spans="1:15" ht="41.1" customHeight="1">
      <c r="A105" s="707" t="s">
        <v>296</v>
      </c>
      <c r="B105" s="707"/>
      <c r="C105" s="707"/>
      <c r="D105" s="62">
        <v>9</v>
      </c>
      <c r="E105" s="707" t="s">
        <v>869</v>
      </c>
      <c r="F105" s="707"/>
      <c r="G105" s="707"/>
      <c r="H105" s="75" t="s">
        <v>372</v>
      </c>
      <c r="I105" s="75" t="s">
        <v>1138</v>
      </c>
      <c r="J105" s="75" t="s">
        <v>431</v>
      </c>
      <c r="K105" s="75" t="s">
        <v>918</v>
      </c>
      <c r="L105" s="13">
        <v>20.173999999999999</v>
      </c>
      <c r="M105" s="13">
        <v>97.043000000000006</v>
      </c>
      <c r="N105" s="12"/>
      <c r="O105" s="13">
        <v>117.217</v>
      </c>
    </row>
    <row r="106" spans="1:15" ht="13.35" customHeight="1">
      <c r="A106" s="708" t="s">
        <v>14</v>
      </c>
      <c r="B106" s="708"/>
      <c r="C106" s="708"/>
      <c r="D106" s="708"/>
      <c r="E106" s="708"/>
      <c r="F106" s="708"/>
      <c r="G106" s="708"/>
      <c r="H106" s="708"/>
      <c r="I106" s="708"/>
      <c r="J106" s="708"/>
      <c r="K106" s="708"/>
      <c r="L106" s="79">
        <v>994.78200000000004</v>
      </c>
      <c r="M106" s="80">
        <v>2925.6039999999998</v>
      </c>
      <c r="N106" s="79">
        <v>746.18</v>
      </c>
      <c r="O106" s="80">
        <v>4666.5659999999998</v>
      </c>
    </row>
  </sheetData>
  <mergeCells count="203">
    <mergeCell ref="A95:C95"/>
    <mergeCell ref="E9:G9"/>
    <mergeCell ref="E10:G10"/>
    <mergeCell ref="A93:C93"/>
    <mergeCell ref="A94:C94"/>
    <mergeCell ref="E93:G93"/>
    <mergeCell ref="E94:G94"/>
    <mergeCell ref="A91:C91"/>
    <mergeCell ref="A92:C92"/>
    <mergeCell ref="E91:G91"/>
    <mergeCell ref="E92:G92"/>
    <mergeCell ref="A89:C89"/>
    <mergeCell ref="A90:C90"/>
    <mergeCell ref="E89:G89"/>
    <mergeCell ref="E90:G90"/>
    <mergeCell ref="A87:C87"/>
    <mergeCell ref="A88:C88"/>
    <mergeCell ref="E87:G87"/>
    <mergeCell ref="E88:G88"/>
    <mergeCell ref="A85:C85"/>
    <mergeCell ref="A86:C86"/>
    <mergeCell ref="E85:G85"/>
    <mergeCell ref="E86:G86"/>
    <mergeCell ref="A83:C83"/>
    <mergeCell ref="A84:C84"/>
    <mergeCell ref="E83:G83"/>
    <mergeCell ref="E84:G84"/>
    <mergeCell ref="A81:C81"/>
    <mergeCell ref="A82:C82"/>
    <mergeCell ref="E81:G81"/>
    <mergeCell ref="E82:G82"/>
    <mergeCell ref="A79:C79"/>
    <mergeCell ref="A80:C80"/>
    <mergeCell ref="E79:G79"/>
    <mergeCell ref="E80:G80"/>
    <mergeCell ref="A77:C77"/>
    <mergeCell ref="A78:C78"/>
    <mergeCell ref="E77:G77"/>
    <mergeCell ref="E78:G78"/>
    <mergeCell ref="A75:C75"/>
    <mergeCell ref="A76:C76"/>
    <mergeCell ref="E74:G74"/>
    <mergeCell ref="E75:G75"/>
    <mergeCell ref="E76:G76"/>
    <mergeCell ref="A72:C72"/>
    <mergeCell ref="A73:C73"/>
    <mergeCell ref="A74:C74"/>
    <mergeCell ref="E72:G72"/>
    <mergeCell ref="E73:G73"/>
    <mergeCell ref="A69:C69"/>
    <mergeCell ref="A70:C70"/>
    <mergeCell ref="A71:C71"/>
    <mergeCell ref="E69:G69"/>
    <mergeCell ref="E70:G70"/>
    <mergeCell ref="E71:G71"/>
    <mergeCell ref="A67:C67"/>
    <mergeCell ref="A68:C68"/>
    <mergeCell ref="E67:G67"/>
    <mergeCell ref="E68:G68"/>
    <mergeCell ref="A65:C65"/>
    <mergeCell ref="A66:C66"/>
    <mergeCell ref="E65:G65"/>
    <mergeCell ref="E66:G66"/>
    <mergeCell ref="A63:C63"/>
    <mergeCell ref="A64:C64"/>
    <mergeCell ref="E63:G63"/>
    <mergeCell ref="E64:G64"/>
    <mergeCell ref="A61:C61"/>
    <mergeCell ref="A62:C62"/>
    <mergeCell ref="E61:G61"/>
    <mergeCell ref="E62:G62"/>
    <mergeCell ref="A59:C59"/>
    <mergeCell ref="A60:C60"/>
    <mergeCell ref="E59:G59"/>
    <mergeCell ref="E60:G60"/>
    <mergeCell ref="A57:C57"/>
    <mergeCell ref="A58:C58"/>
    <mergeCell ref="E57:G57"/>
    <mergeCell ref="E58:G58"/>
    <mergeCell ref="A55:C55"/>
    <mergeCell ref="A56:C56"/>
    <mergeCell ref="E55:G55"/>
    <mergeCell ref="E56:G56"/>
    <mergeCell ref="A53:C53"/>
    <mergeCell ref="A54:C54"/>
    <mergeCell ref="E53:G53"/>
    <mergeCell ref="E54:G54"/>
    <mergeCell ref="A51:C51"/>
    <mergeCell ref="A52:C52"/>
    <mergeCell ref="E51:G51"/>
    <mergeCell ref="E52:G52"/>
    <mergeCell ref="A49:C49"/>
    <mergeCell ref="A50:C50"/>
    <mergeCell ref="E49:G49"/>
    <mergeCell ref="E50:G50"/>
    <mergeCell ref="A47:C47"/>
    <mergeCell ref="A48:C48"/>
    <mergeCell ref="E47:G47"/>
    <mergeCell ref="E48:G48"/>
    <mergeCell ref="A45:C45"/>
    <mergeCell ref="A46:C46"/>
    <mergeCell ref="E45:G45"/>
    <mergeCell ref="E46:G46"/>
    <mergeCell ref="A43:C43"/>
    <mergeCell ref="A44:C44"/>
    <mergeCell ref="E43:G43"/>
    <mergeCell ref="E44:G44"/>
    <mergeCell ref="A41:C41"/>
    <mergeCell ref="A42:C42"/>
    <mergeCell ref="E41:G41"/>
    <mergeCell ref="E42:G42"/>
    <mergeCell ref="A39:C39"/>
    <mergeCell ref="A40:C40"/>
    <mergeCell ref="E39:G39"/>
    <mergeCell ref="E40:G40"/>
    <mergeCell ref="A37:C37"/>
    <mergeCell ref="A38:C38"/>
    <mergeCell ref="E37:G37"/>
    <mergeCell ref="E38:G38"/>
    <mergeCell ref="A35:C35"/>
    <mergeCell ref="A36:C36"/>
    <mergeCell ref="E35:G35"/>
    <mergeCell ref="E36:G36"/>
    <mergeCell ref="A33:C33"/>
    <mergeCell ref="A34:C34"/>
    <mergeCell ref="E33:G33"/>
    <mergeCell ref="E34:G34"/>
    <mergeCell ref="A31:C31"/>
    <mergeCell ref="A32:C32"/>
    <mergeCell ref="E31:G31"/>
    <mergeCell ref="E32:G32"/>
    <mergeCell ref="A29:C29"/>
    <mergeCell ref="A30:C30"/>
    <mergeCell ref="E29:G29"/>
    <mergeCell ref="E30:G30"/>
    <mergeCell ref="A27:C27"/>
    <mergeCell ref="A28:C28"/>
    <mergeCell ref="E27:G27"/>
    <mergeCell ref="E28:G28"/>
    <mergeCell ref="A25:C25"/>
    <mergeCell ref="A26:C26"/>
    <mergeCell ref="E25:G25"/>
    <mergeCell ref="E26:G26"/>
    <mergeCell ref="A23:C23"/>
    <mergeCell ref="A24:C24"/>
    <mergeCell ref="E23:G23"/>
    <mergeCell ref="E24:G24"/>
    <mergeCell ref="A21:C21"/>
    <mergeCell ref="A22:C22"/>
    <mergeCell ref="E21:G21"/>
    <mergeCell ref="E22:G22"/>
    <mergeCell ref="A19:C19"/>
    <mergeCell ref="A20:C20"/>
    <mergeCell ref="E19:G19"/>
    <mergeCell ref="E20:G20"/>
    <mergeCell ref="A17:C17"/>
    <mergeCell ref="A18:C18"/>
    <mergeCell ref="E17:G17"/>
    <mergeCell ref="E18:G18"/>
    <mergeCell ref="E15:G15"/>
    <mergeCell ref="E16:G16"/>
    <mergeCell ref="K7:K8"/>
    <mergeCell ref="A9:C9"/>
    <mergeCell ref="A10:C10"/>
    <mergeCell ref="A7:C8"/>
    <mergeCell ref="D7:D8"/>
    <mergeCell ref="I7:I8"/>
    <mergeCell ref="J7:J8"/>
    <mergeCell ref="E7:G8"/>
    <mergeCell ref="H7:H8"/>
    <mergeCell ref="A12:C12"/>
    <mergeCell ref="E11:G11"/>
    <mergeCell ref="E12:G12"/>
    <mergeCell ref="A15:C15"/>
    <mergeCell ref="A16:C16"/>
    <mergeCell ref="A13:C13"/>
    <mergeCell ref="A14:C14"/>
    <mergeCell ref="E13:G13"/>
    <mergeCell ref="E14:G14"/>
    <mergeCell ref="A2:O2"/>
    <mergeCell ref="E95:G95"/>
    <mergeCell ref="A106:K106"/>
    <mergeCell ref="A102:C102"/>
    <mergeCell ref="A103:C103"/>
    <mergeCell ref="E102:G102"/>
    <mergeCell ref="E103:G103"/>
    <mergeCell ref="A104:C104"/>
    <mergeCell ref="A105:C105"/>
    <mergeCell ref="E104:G104"/>
    <mergeCell ref="E105:G105"/>
    <mergeCell ref="A98:C98"/>
    <mergeCell ref="A99:C99"/>
    <mergeCell ref="E98:G98"/>
    <mergeCell ref="E99:G99"/>
    <mergeCell ref="A100:C100"/>
    <mergeCell ref="A101:C101"/>
    <mergeCell ref="E100:G100"/>
    <mergeCell ref="E101:G101"/>
    <mergeCell ref="A96:C96"/>
    <mergeCell ref="A97:C97"/>
    <mergeCell ref="E96:G96"/>
    <mergeCell ref="E97:G97"/>
    <mergeCell ref="A11:C1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J34"/>
  <sheetViews>
    <sheetView zoomScaleNormal="100" workbookViewId="0">
      <selection activeCell="J43" sqref="J43"/>
    </sheetView>
  </sheetViews>
  <sheetFormatPr defaultColWidth="17.140625" defaultRowHeight="12.75" customHeight="1"/>
  <cols>
    <col min="1" max="1" width="16.42578125" bestFit="1" customWidth="1"/>
    <col min="2" max="2" width="10" bestFit="1" customWidth="1"/>
    <col min="3" max="3" width="27" style="16" bestFit="1" customWidth="1"/>
    <col min="4" max="4" width="14.5703125" style="16" bestFit="1" customWidth="1"/>
    <col min="5" max="5" width="15.5703125" style="16" bestFit="1" customWidth="1"/>
    <col min="6" max="6" width="15.28515625" style="16" bestFit="1" customWidth="1"/>
    <col min="7" max="7" width="14.7109375" bestFit="1" customWidth="1"/>
    <col min="8" max="8" width="18.28515625" style="16" bestFit="1" customWidth="1"/>
    <col min="9" max="9" width="15.7109375" style="16" bestFit="1" customWidth="1"/>
    <col min="10" max="10" width="38.85546875" style="16" bestFit="1" customWidth="1"/>
    <col min="11" max="11" width="17.140625" style="16" customWidth="1"/>
    <col min="12" max="12" width="18.5703125" style="16" customWidth="1"/>
    <col min="13" max="16384" width="17.140625" style="16"/>
  </cols>
  <sheetData>
    <row r="1" spans="1:10" s="57" customFormat="1" ht="36" customHeight="1" thickBot="1">
      <c r="A1" s="51" t="s">
        <v>873</v>
      </c>
      <c r="B1" s="53" t="s">
        <v>875</v>
      </c>
      <c r="C1" s="51" t="s">
        <v>997</v>
      </c>
      <c r="D1" s="54" t="s">
        <v>877</v>
      </c>
      <c r="E1" s="52" t="s">
        <v>876</v>
      </c>
      <c r="F1" s="67" t="s">
        <v>1141</v>
      </c>
      <c r="G1" s="14" t="s">
        <v>878</v>
      </c>
      <c r="H1" s="55" t="s">
        <v>879</v>
      </c>
      <c r="I1" s="52" t="s">
        <v>874</v>
      </c>
      <c r="J1" s="56" t="s">
        <v>872</v>
      </c>
    </row>
    <row r="2" spans="1:10" ht="18.75" customHeight="1" thickBot="1">
      <c r="A2" s="58" t="s">
        <v>19</v>
      </c>
      <c r="B2" s="18" t="s">
        <v>890</v>
      </c>
      <c r="C2" s="58" t="s">
        <v>891</v>
      </c>
      <c r="D2" s="19" t="s">
        <v>893</v>
      </c>
      <c r="E2" s="18" t="s">
        <v>892</v>
      </c>
      <c r="F2" s="435" t="s">
        <v>1559</v>
      </c>
      <c r="G2" s="20" t="s">
        <v>894</v>
      </c>
      <c r="H2" s="18" t="s">
        <v>895</v>
      </c>
      <c r="I2" s="17">
        <v>11</v>
      </c>
      <c r="J2" s="50" t="s">
        <v>11</v>
      </c>
    </row>
    <row r="3" spans="1:10" ht="18.75" customHeight="1" thickBot="1">
      <c r="A3" s="21" t="s">
        <v>85</v>
      </c>
      <c r="B3" s="23" t="s">
        <v>880</v>
      </c>
      <c r="C3" s="21" t="s">
        <v>998</v>
      </c>
      <c r="D3" s="24" t="s">
        <v>882</v>
      </c>
      <c r="E3" s="23" t="s">
        <v>881</v>
      </c>
      <c r="F3" s="61" t="s">
        <v>497</v>
      </c>
      <c r="G3" s="26" t="s">
        <v>883</v>
      </c>
      <c r="H3" s="59" t="s">
        <v>884</v>
      </c>
      <c r="I3" s="22">
        <v>1</v>
      </c>
      <c r="J3" s="50" t="s">
        <v>11</v>
      </c>
    </row>
    <row r="4" spans="1:10" ht="18.75" customHeight="1" thickBot="1">
      <c r="A4" s="21" t="s">
        <v>132</v>
      </c>
      <c r="B4" s="23" t="s">
        <v>885</v>
      </c>
      <c r="C4" s="21" t="s">
        <v>886</v>
      </c>
      <c r="D4" s="24" t="s">
        <v>887</v>
      </c>
      <c r="E4" s="23" t="s">
        <v>1030</v>
      </c>
      <c r="F4" s="435" t="s">
        <v>1559</v>
      </c>
      <c r="G4" s="26" t="s">
        <v>888</v>
      </c>
      <c r="H4" s="15" t="s">
        <v>889</v>
      </c>
      <c r="I4" s="22">
        <v>1</v>
      </c>
      <c r="J4" s="50" t="s">
        <v>11</v>
      </c>
    </row>
    <row r="5" spans="1:10" ht="18.75" customHeight="1" thickBot="1">
      <c r="A5" s="27" t="s">
        <v>177</v>
      </c>
      <c r="B5" s="23" t="s">
        <v>896</v>
      </c>
      <c r="C5" s="21" t="s">
        <v>897</v>
      </c>
      <c r="D5" s="24" t="s">
        <v>898</v>
      </c>
      <c r="E5" s="23" t="s">
        <v>898</v>
      </c>
      <c r="F5" s="61" t="s">
        <v>497</v>
      </c>
      <c r="G5" s="26" t="s">
        <v>899</v>
      </c>
      <c r="H5" s="15" t="s">
        <v>900</v>
      </c>
      <c r="I5" s="22">
        <v>1</v>
      </c>
      <c r="J5" s="50" t="s">
        <v>11</v>
      </c>
    </row>
    <row r="6" spans="1:10" ht="18.75" customHeight="1" thickBot="1">
      <c r="A6" s="27" t="s">
        <v>216</v>
      </c>
      <c r="B6" s="22" t="s">
        <v>901</v>
      </c>
      <c r="C6" s="21" t="s">
        <v>902</v>
      </c>
      <c r="D6" s="24" t="s">
        <v>903</v>
      </c>
      <c r="E6" s="23" t="s">
        <v>903</v>
      </c>
      <c r="F6" s="435" t="s">
        <v>1559</v>
      </c>
      <c r="G6" s="26" t="s">
        <v>904</v>
      </c>
      <c r="H6" s="15" t="s">
        <v>905</v>
      </c>
      <c r="I6" s="22">
        <v>9</v>
      </c>
      <c r="J6" s="50" t="s">
        <v>11</v>
      </c>
    </row>
    <row r="7" spans="1:10" ht="18.75" customHeight="1" thickBot="1">
      <c r="A7" s="28" t="s">
        <v>296</v>
      </c>
      <c r="B7" s="29" t="s">
        <v>906</v>
      </c>
      <c r="C7" s="30" t="s">
        <v>907</v>
      </c>
      <c r="D7" s="32" t="s">
        <v>1029</v>
      </c>
      <c r="E7" s="31" t="s">
        <v>1028</v>
      </c>
      <c r="F7" s="25" t="s">
        <v>1559</v>
      </c>
      <c r="G7" s="33" t="s">
        <v>908</v>
      </c>
      <c r="H7" s="15" t="s">
        <v>909</v>
      </c>
      <c r="I7" s="29">
        <v>13</v>
      </c>
      <c r="J7" s="50" t="s">
        <v>11</v>
      </c>
    </row>
    <row r="8" spans="1:10" s="34" customFormat="1">
      <c r="J8" s="35"/>
    </row>
    <row r="9" spans="1:10" s="34" customFormat="1">
      <c r="J9" s="37"/>
    </row>
    <row r="10" spans="1:10" s="34" customFormat="1">
      <c r="J10" s="38"/>
    </row>
    <row r="11" spans="1:10" s="34" customFormat="1">
      <c r="J11" s="39"/>
    </row>
    <row r="12" spans="1:10" s="34" customFormat="1">
      <c r="J12" s="38"/>
    </row>
    <row r="13" spans="1:10" s="34" customFormat="1">
      <c r="J13" s="39"/>
    </row>
    <row r="14" spans="1:10" s="34" customFormat="1">
      <c r="J14" s="38"/>
    </row>
    <row r="15" spans="1:10" s="34" customFormat="1">
      <c r="J15" s="39"/>
    </row>
    <row r="16" spans="1:10" s="34" customFormat="1">
      <c r="J16" s="39"/>
    </row>
    <row r="17" spans="3:10" s="34" customFormat="1">
      <c r="J17" s="38"/>
    </row>
    <row r="18" spans="3:10" s="34" customFormat="1">
      <c r="J18" s="39"/>
    </row>
    <row r="19" spans="3:10" s="34" customFormat="1">
      <c r="J19" s="39"/>
    </row>
    <row r="20" spans="3:10" s="34" customFormat="1">
      <c r="J20" s="38"/>
    </row>
    <row r="21" spans="3:10" s="34" customFormat="1">
      <c r="J21" s="38"/>
    </row>
    <row r="22" spans="3:10" s="34" customFormat="1">
      <c r="J22" s="38"/>
    </row>
    <row r="23" spans="3:10" s="34" customFormat="1">
      <c r="C23" s="36"/>
      <c r="J23" s="38"/>
    </row>
    <row r="24" spans="3:10" s="34" customFormat="1">
      <c r="C24" s="36"/>
      <c r="J24" s="39"/>
    </row>
    <row r="25" spans="3:10" s="34" customFormat="1">
      <c r="C25" s="36"/>
      <c r="J25" s="39"/>
    </row>
    <row r="26" spans="3:10" s="34" customFormat="1">
      <c r="J26" s="39"/>
    </row>
    <row r="27" spans="3:10" s="34" customFormat="1">
      <c r="J27" s="39"/>
    </row>
    <row r="28" spans="3:10" s="34" customFormat="1">
      <c r="J28" s="39"/>
    </row>
    <row r="29" spans="3:10" s="34" customFormat="1">
      <c r="J29" s="39"/>
    </row>
    <row r="30" spans="3:10" s="34" customFormat="1" ht="12.75" customHeight="1">
      <c r="J30" s="39"/>
    </row>
    <row r="34" spans="10:10" ht="12.75" customHeight="1">
      <c r="J34" s="40"/>
    </row>
  </sheetData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00B050"/>
  </sheetPr>
  <dimension ref="A1:H12"/>
  <sheetViews>
    <sheetView tabSelected="1" topLeftCell="A19" workbookViewId="0">
      <selection activeCell="B29" sqref="B29"/>
    </sheetView>
  </sheetViews>
  <sheetFormatPr defaultRowHeight="15"/>
  <cols>
    <col min="1" max="1" width="11.42578125" style="452" customWidth="1"/>
    <col min="2" max="2" width="31.140625" style="452" customWidth="1"/>
    <col min="3" max="3" width="9.140625" style="452"/>
    <col min="4" max="4" width="10" style="452" customWidth="1"/>
    <col min="5" max="8" width="9.140625" style="452"/>
    <col min="9" max="9" width="10.28515625" style="452" bestFit="1" customWidth="1"/>
    <col min="10" max="16384" width="9.140625" style="452"/>
  </cols>
  <sheetData>
    <row r="1" spans="1:8">
      <c r="A1" s="452" t="s">
        <v>1552</v>
      </c>
      <c r="B1" s="452" t="s">
        <v>1553</v>
      </c>
      <c r="C1" s="452" t="s">
        <v>1554</v>
      </c>
      <c r="D1" s="452" t="s">
        <v>1555</v>
      </c>
      <c r="E1" s="452" t="s">
        <v>1551</v>
      </c>
    </row>
    <row r="2" spans="1:8">
      <c r="A2" s="452" t="s">
        <v>1540</v>
      </c>
      <c r="B2" s="787" t="s">
        <v>1533</v>
      </c>
      <c r="C2" s="452" t="s">
        <v>1549</v>
      </c>
      <c r="D2" s="452">
        <v>2.4</v>
      </c>
      <c r="E2" s="452">
        <v>2</v>
      </c>
      <c r="H2" s="452">
        <v>1</v>
      </c>
    </row>
    <row r="3" spans="1:8">
      <c r="A3" s="452" t="s">
        <v>1541</v>
      </c>
      <c r="B3" s="787" t="s">
        <v>1562</v>
      </c>
      <c r="C3" s="452" t="s">
        <v>1549</v>
      </c>
      <c r="D3" s="452">
        <v>2.4</v>
      </c>
    </row>
    <row r="4" spans="1:8">
      <c r="A4" s="452" t="s">
        <v>1542</v>
      </c>
      <c r="B4" s="787" t="s">
        <v>1534</v>
      </c>
      <c r="C4" s="452">
        <v>1</v>
      </c>
    </row>
    <row r="5" spans="1:8">
      <c r="A5" s="452" t="s">
        <v>1543</v>
      </c>
      <c r="B5" s="787" t="s">
        <v>1535</v>
      </c>
      <c r="C5" s="452">
        <v>1</v>
      </c>
      <c r="D5" s="452">
        <v>2</v>
      </c>
      <c r="E5" s="452">
        <v>1</v>
      </c>
      <c r="H5" s="452">
        <v>1</v>
      </c>
    </row>
    <row r="6" spans="1:8">
      <c r="A6" s="452" t="s">
        <v>1544</v>
      </c>
      <c r="B6" s="787" t="s">
        <v>1560</v>
      </c>
      <c r="C6" s="452">
        <v>1</v>
      </c>
      <c r="E6" s="452">
        <v>1</v>
      </c>
      <c r="H6" s="452">
        <v>1</v>
      </c>
    </row>
    <row r="7" spans="1:8">
      <c r="A7" s="452" t="s">
        <v>1545</v>
      </c>
      <c r="B7" s="787" t="s">
        <v>1536</v>
      </c>
      <c r="C7" s="452">
        <v>1</v>
      </c>
      <c r="E7" s="452">
        <v>1</v>
      </c>
      <c r="H7" s="452">
        <v>1</v>
      </c>
    </row>
    <row r="8" spans="1:8">
      <c r="A8" s="452" t="s">
        <v>1546</v>
      </c>
      <c r="B8" s="787" t="s">
        <v>1561</v>
      </c>
      <c r="C8" s="452">
        <v>1</v>
      </c>
      <c r="E8" s="452">
        <v>2</v>
      </c>
      <c r="H8" s="452">
        <v>1</v>
      </c>
    </row>
    <row r="9" spans="1:8">
      <c r="A9" s="452" t="s">
        <v>1547</v>
      </c>
      <c r="B9" s="787" t="s">
        <v>1537</v>
      </c>
      <c r="C9" s="452">
        <v>1</v>
      </c>
      <c r="D9" s="452">
        <v>2</v>
      </c>
    </row>
    <row r="10" spans="1:8">
      <c r="A10" s="452" t="s">
        <v>1548</v>
      </c>
      <c r="B10" s="787" t="s">
        <v>1538</v>
      </c>
      <c r="C10" s="452">
        <v>1</v>
      </c>
    </row>
    <row r="11" spans="1:8">
      <c r="A11" s="452" t="s">
        <v>1550</v>
      </c>
      <c r="B11" s="788" t="s">
        <v>1539</v>
      </c>
      <c r="C11" s="452">
        <v>1</v>
      </c>
    </row>
    <row r="12" spans="1:8">
      <c r="A12" s="452" t="s">
        <v>1606</v>
      </c>
      <c r="B12" s="787" t="s">
        <v>1605</v>
      </c>
      <c r="C12" s="452">
        <v>1</v>
      </c>
      <c r="E12" s="452">
        <v>1</v>
      </c>
      <c r="H12" s="452">
        <v>1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FFFF00"/>
  </sheetPr>
  <dimension ref="A1:DD40"/>
  <sheetViews>
    <sheetView workbookViewId="0">
      <selection activeCell="B46" sqref="B46"/>
    </sheetView>
  </sheetViews>
  <sheetFormatPr defaultRowHeight="15"/>
  <cols>
    <col min="1" max="1" width="12.140625" customWidth="1"/>
    <col min="2" max="2" width="15.28515625" customWidth="1"/>
    <col min="3" max="3" width="11.5703125" customWidth="1"/>
    <col min="4" max="4" width="15.5703125" customWidth="1"/>
    <col min="5" max="5" width="22.5703125" customWidth="1"/>
    <col min="6" max="6" width="11.28515625" customWidth="1"/>
    <col min="7" max="7" width="14.42578125" customWidth="1"/>
    <col min="8" max="8" width="12.140625" customWidth="1"/>
    <col min="9" max="9" width="16.85546875" customWidth="1"/>
    <col min="10" max="10" width="9.7109375" customWidth="1"/>
    <col min="12" max="12" width="13.85546875" customWidth="1"/>
    <col min="13" max="13" width="12.5703125" customWidth="1"/>
    <col min="14" max="14" width="12.28515625" customWidth="1"/>
    <col min="15" max="15" width="12.140625" customWidth="1"/>
    <col min="16" max="16" width="11.7109375" customWidth="1"/>
    <col min="17" max="17" width="10.42578125" customWidth="1"/>
    <col min="19" max="19" width="10.42578125" customWidth="1"/>
    <col min="20" max="20" width="9.42578125" customWidth="1"/>
    <col min="21" max="21" width="21.28515625" customWidth="1"/>
    <col min="22" max="22" width="12.28515625" customWidth="1"/>
    <col min="23" max="23" width="22.85546875" customWidth="1"/>
    <col min="24" max="24" width="20" customWidth="1"/>
    <col min="25" max="25" width="22.140625" customWidth="1"/>
    <col min="26" max="26" width="23.42578125" customWidth="1"/>
    <col min="27" max="27" width="30.5703125" customWidth="1"/>
    <col min="28" max="28" width="10.7109375" customWidth="1"/>
    <col min="29" max="29" width="13.5703125" customWidth="1"/>
    <col min="30" max="30" width="30.140625" customWidth="1"/>
    <col min="31" max="31" width="16.42578125" customWidth="1"/>
    <col min="32" max="32" width="11.85546875" customWidth="1"/>
    <col min="33" max="33" width="17.7109375" customWidth="1"/>
    <col min="34" max="34" width="19.42578125" customWidth="1"/>
    <col min="35" max="35" width="26.140625" customWidth="1"/>
    <col min="36" max="36" width="21.28515625" customWidth="1"/>
    <col min="37" max="37" width="9.7109375" customWidth="1"/>
    <col min="40" max="40" width="31.42578125" customWidth="1"/>
    <col min="41" max="41" width="9.7109375" customWidth="1"/>
    <col min="42" max="42" width="11.42578125" customWidth="1"/>
    <col min="43" max="43" width="12.140625" customWidth="1"/>
    <col min="44" max="44" width="11.140625" customWidth="1"/>
    <col min="45" max="45" width="11" customWidth="1"/>
    <col min="46" max="46" width="14.28515625" customWidth="1"/>
    <col min="47" max="47" width="19.140625" customWidth="1"/>
    <col min="48" max="48" width="10.28515625" customWidth="1"/>
    <col min="49" max="49" width="12.140625" customWidth="1"/>
    <col min="50" max="50" width="10.28515625" customWidth="1"/>
    <col min="51" max="51" width="17.5703125" customWidth="1"/>
    <col min="52" max="52" width="18.5703125" customWidth="1"/>
    <col min="53" max="53" width="19.42578125" customWidth="1"/>
    <col min="54" max="54" width="17.5703125" customWidth="1"/>
    <col min="56" max="56" width="27.7109375" customWidth="1"/>
    <col min="57" max="57" width="16.5703125" customWidth="1"/>
    <col min="58" max="58" width="18.42578125" customWidth="1"/>
    <col min="59" max="59" width="16.5703125" customWidth="1"/>
    <col min="60" max="60" width="10.5703125" customWidth="1"/>
    <col min="61" max="61" width="22" customWidth="1"/>
    <col min="62" max="62" width="22.28515625" customWidth="1"/>
    <col min="63" max="63" width="11.5703125" customWidth="1"/>
    <col min="64" max="64" width="15.42578125" customWidth="1"/>
    <col min="65" max="65" width="14.5703125" customWidth="1"/>
    <col min="66" max="66" width="22.28515625" customWidth="1"/>
    <col min="67" max="67" width="22.42578125" customWidth="1"/>
    <col min="68" max="68" width="20.7109375" customWidth="1"/>
    <col min="69" max="69" width="25.42578125" customWidth="1"/>
    <col min="70" max="70" width="30.140625" customWidth="1"/>
    <col min="71" max="71" width="20" customWidth="1"/>
    <col min="72" max="72" width="18.7109375" customWidth="1"/>
    <col min="73" max="73" width="11" customWidth="1"/>
    <col min="74" max="74" width="15.85546875" customWidth="1"/>
    <col min="75" max="75" width="10.28515625" customWidth="1"/>
    <col min="76" max="76" width="12.140625" customWidth="1"/>
    <col min="79" max="79" width="15.28515625" customWidth="1"/>
    <col min="80" max="80" width="13.140625" customWidth="1"/>
    <col min="81" max="81" width="12.5703125" customWidth="1"/>
    <col min="82" max="82" width="12" customWidth="1"/>
    <col min="83" max="83" width="10.5703125" customWidth="1"/>
    <col min="84" max="84" width="18.85546875" customWidth="1"/>
    <col min="85" max="85" width="19.5703125" customWidth="1"/>
    <col min="86" max="86" width="13.5703125" customWidth="1"/>
    <col min="87" max="87" width="19.28515625" customWidth="1"/>
    <col min="88" max="88" width="10.7109375" customWidth="1"/>
    <col min="89" max="89" width="22" customWidth="1"/>
    <col min="90" max="90" width="20.5703125" customWidth="1"/>
    <col min="91" max="91" width="21.140625" customWidth="1"/>
    <col min="92" max="92" width="21" customWidth="1"/>
    <col min="93" max="93" width="17.42578125" customWidth="1"/>
    <col min="94" max="94" width="16.28515625" customWidth="1"/>
    <col min="95" max="95" width="22.7109375" customWidth="1"/>
    <col min="96" max="96" width="11.42578125" customWidth="1"/>
    <col min="97" max="97" width="10.5703125" customWidth="1"/>
    <col min="98" max="98" width="18.28515625" customWidth="1"/>
    <col min="99" max="99" width="14.28515625" customWidth="1"/>
    <col min="100" max="100" width="12.5703125" customWidth="1"/>
    <col min="101" max="101" width="17.28515625" customWidth="1"/>
    <col min="102" max="102" width="16" customWidth="1"/>
    <col min="103" max="103" width="22.140625" customWidth="1"/>
    <col min="104" max="104" width="26.5703125" customWidth="1"/>
    <col min="105" max="105" width="21.85546875" customWidth="1"/>
    <col min="106" max="106" width="14.5703125" customWidth="1"/>
  </cols>
  <sheetData>
    <row r="1" spans="1:108" ht="16.5" thickBot="1">
      <c r="A1" s="176"/>
      <c r="B1" s="176"/>
      <c r="C1" s="176"/>
      <c r="D1" s="146"/>
      <c r="E1" s="147"/>
      <c r="F1" s="147"/>
      <c r="G1" s="147"/>
      <c r="H1" s="147"/>
      <c r="I1" s="148"/>
      <c r="J1" s="149"/>
      <c r="K1" s="150"/>
      <c r="L1" s="151"/>
      <c r="M1" s="151"/>
      <c r="N1" s="143"/>
      <c r="O1" s="145"/>
      <c r="P1" s="145"/>
      <c r="Q1" s="145"/>
      <c r="R1" s="145"/>
      <c r="S1" s="145"/>
      <c r="T1" s="145"/>
      <c r="U1" s="145"/>
      <c r="V1" s="145"/>
      <c r="W1" s="221"/>
      <c r="X1" s="209"/>
      <c r="Y1" s="145"/>
      <c r="Z1" s="145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4"/>
      <c r="AL1" s="198"/>
      <c r="AM1" s="191"/>
      <c r="AN1" s="191"/>
      <c r="AO1" s="191"/>
      <c r="AP1" s="193"/>
      <c r="AQ1" s="199"/>
      <c r="AR1" s="194"/>
      <c r="AS1" s="152"/>
      <c r="AT1" s="145"/>
      <c r="AU1" s="153"/>
      <c r="AV1" s="143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200"/>
      <c r="BK1" s="209"/>
      <c r="BL1" s="209"/>
      <c r="BM1" s="245"/>
      <c r="BN1" s="143"/>
      <c r="BO1" s="145"/>
      <c r="BP1" s="145"/>
      <c r="BQ1" s="154"/>
      <c r="BR1" s="154"/>
      <c r="BS1" s="155"/>
      <c r="BT1" s="81"/>
      <c r="BU1" s="81"/>
      <c r="BV1" s="81"/>
      <c r="BW1" s="84"/>
      <c r="BX1" s="145"/>
      <c r="BY1" s="145"/>
      <c r="BZ1" s="145"/>
      <c r="CA1" s="145"/>
      <c r="CB1" s="145"/>
      <c r="CC1" s="145"/>
      <c r="CD1" s="145"/>
      <c r="CE1" s="145"/>
      <c r="CF1" s="145"/>
      <c r="CG1" s="153"/>
      <c r="CH1" s="143"/>
      <c r="CI1" s="145"/>
      <c r="CJ1" s="145"/>
      <c r="CK1" s="84"/>
      <c r="CL1" s="177"/>
      <c r="CM1" s="84"/>
      <c r="CN1" s="144"/>
      <c r="CO1" s="144"/>
      <c r="CP1" s="145"/>
      <c r="CQ1" s="145"/>
      <c r="CR1" s="145"/>
      <c r="CS1" s="145"/>
      <c r="CT1" s="143"/>
      <c r="CU1" s="145"/>
      <c r="CV1" s="145"/>
      <c r="CW1" s="154"/>
      <c r="CX1" s="154"/>
      <c r="CY1" s="155"/>
      <c r="CZ1" s="174"/>
      <c r="DA1" s="174"/>
      <c r="DB1" s="174"/>
      <c r="DC1" s="258"/>
      <c r="DD1" s="259"/>
    </row>
    <row r="2" spans="1:108" ht="15.75">
      <c r="A2" s="176"/>
      <c r="B2" s="176"/>
      <c r="C2" s="249"/>
      <c r="D2" s="250"/>
      <c r="E2" s="250"/>
      <c r="F2" s="250"/>
      <c r="G2" s="250"/>
      <c r="H2" s="249"/>
      <c r="I2" s="251"/>
      <c r="J2" s="252"/>
      <c r="K2" s="252"/>
      <c r="L2" s="252"/>
      <c r="M2" s="249"/>
      <c r="N2" s="249"/>
      <c r="O2" s="249"/>
      <c r="P2" s="249"/>
      <c r="Q2" s="249"/>
      <c r="R2" s="249"/>
      <c r="S2" s="249"/>
      <c r="T2" s="249"/>
      <c r="U2" s="221"/>
      <c r="V2" s="245"/>
      <c r="W2" s="249"/>
      <c r="X2" s="249"/>
      <c r="Y2" s="253"/>
      <c r="Z2" s="253"/>
      <c r="AA2" s="253"/>
      <c r="AB2" s="253"/>
      <c r="AC2" s="253"/>
      <c r="AD2" s="253"/>
      <c r="AE2" s="253"/>
      <c r="AF2" s="253"/>
      <c r="AG2" s="253"/>
      <c r="AH2" s="253"/>
      <c r="AI2" s="253"/>
      <c r="AJ2" s="254"/>
      <c r="AK2" s="192"/>
      <c r="AL2" s="192"/>
      <c r="AM2" s="192"/>
      <c r="AN2" s="253"/>
      <c r="AO2" s="253"/>
      <c r="AP2" s="255"/>
      <c r="AQ2" s="255"/>
      <c r="AR2" s="249"/>
      <c r="AS2" s="249"/>
      <c r="AT2" s="249"/>
      <c r="AU2" s="249"/>
      <c r="AV2" s="249"/>
      <c r="AW2" s="249"/>
      <c r="AX2" s="249"/>
      <c r="AY2" s="249"/>
      <c r="AZ2" s="249"/>
      <c r="BA2" s="249"/>
      <c r="BB2" s="249"/>
      <c r="BC2" s="249"/>
      <c r="BD2" s="249"/>
      <c r="BE2" s="249"/>
      <c r="BF2" s="249"/>
      <c r="BG2" s="249"/>
      <c r="BH2" s="256"/>
      <c r="BI2" s="245"/>
      <c r="BJ2" s="245"/>
      <c r="BK2" s="245"/>
      <c r="BL2" s="249"/>
      <c r="BM2" s="249"/>
      <c r="BN2" s="249"/>
      <c r="BO2" s="256"/>
      <c r="BP2" s="256"/>
      <c r="BQ2" s="256"/>
      <c r="BR2" s="81"/>
      <c r="BS2" s="81"/>
      <c r="BT2" s="81"/>
      <c r="BU2" s="84"/>
      <c r="BV2" s="249"/>
      <c r="BW2" s="249"/>
      <c r="BX2" s="249"/>
      <c r="BY2" s="249"/>
      <c r="BZ2" s="249"/>
      <c r="CA2" s="249"/>
      <c r="CB2" s="249"/>
      <c r="CC2" s="249"/>
      <c r="CD2" s="249"/>
      <c r="CE2" s="249"/>
      <c r="CF2" s="249"/>
      <c r="CG2" s="249"/>
      <c r="CH2" s="249"/>
      <c r="CI2" s="84"/>
      <c r="CJ2" s="177"/>
      <c r="CK2" s="84"/>
      <c r="CL2" s="250"/>
      <c r="CM2" s="250"/>
      <c r="CN2" s="249"/>
      <c r="CO2" s="249"/>
      <c r="CP2" s="249"/>
      <c r="CQ2" s="249"/>
      <c r="CR2" s="249"/>
      <c r="CS2" s="249"/>
      <c r="CT2" s="249"/>
      <c r="CU2" s="256"/>
      <c r="CV2" s="256"/>
      <c r="CW2" s="256"/>
      <c r="CX2" s="256"/>
      <c r="CY2" s="256"/>
      <c r="CZ2" s="256"/>
      <c r="DA2" s="256"/>
      <c r="DB2" s="256"/>
    </row>
    <row r="32" ht="1.5" customHeight="1"/>
    <row r="33" hidden="1"/>
    <row r="34" hidden="1"/>
    <row r="35" hidden="1"/>
    <row r="36" hidden="1"/>
    <row r="37" hidden="1"/>
    <row r="38" hidden="1"/>
    <row r="39" hidden="1"/>
    <row r="40" hidden="1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2"/>
  <sheetViews>
    <sheetView workbookViewId="0">
      <selection activeCell="A2" sqref="A2:A12"/>
    </sheetView>
  </sheetViews>
  <sheetFormatPr defaultRowHeight="15"/>
  <sheetData>
    <row r="1" spans="1:5">
      <c r="A1" s="297" t="s">
        <v>395</v>
      </c>
      <c r="B1" s="298" t="s">
        <v>1577</v>
      </c>
      <c r="C1" s="298" t="s">
        <v>1578</v>
      </c>
      <c r="D1" s="298" t="s">
        <v>1579</v>
      </c>
      <c r="E1" s="299" t="s">
        <v>1580</v>
      </c>
    </row>
    <row r="2" spans="1:5">
      <c r="A2" s="606">
        <v>4</v>
      </c>
      <c r="B2" s="300" t="s">
        <v>1581</v>
      </c>
      <c r="C2" s="301"/>
      <c r="D2" s="301" t="s">
        <v>1582</v>
      </c>
      <c r="E2" s="302" t="s">
        <v>1583</v>
      </c>
    </row>
    <row r="3" spans="1:5">
      <c r="A3" s="607">
        <v>5</v>
      </c>
      <c r="B3" s="300" t="s">
        <v>1584</v>
      </c>
      <c r="C3" s="301" t="s">
        <v>1585</v>
      </c>
      <c r="D3" s="303" t="s">
        <v>1586</v>
      </c>
      <c r="E3" s="304" t="s">
        <v>1586</v>
      </c>
    </row>
    <row r="4" spans="1:5">
      <c r="A4" s="607">
        <v>6</v>
      </c>
      <c r="B4" s="300" t="s">
        <v>1587</v>
      </c>
      <c r="C4" s="301" t="s">
        <v>1588</v>
      </c>
      <c r="D4" s="303" t="s">
        <v>1586</v>
      </c>
      <c r="E4" s="304" t="s">
        <v>1586</v>
      </c>
    </row>
    <row r="5" spans="1:5">
      <c r="A5" s="607">
        <v>7</v>
      </c>
      <c r="B5" s="300" t="s">
        <v>1589</v>
      </c>
      <c r="C5" s="301" t="s">
        <v>1585</v>
      </c>
      <c r="D5" s="303"/>
      <c r="E5" s="304" t="s">
        <v>1586</v>
      </c>
    </row>
    <row r="6" spans="1:5">
      <c r="A6" s="607">
        <v>8</v>
      </c>
      <c r="B6" s="300" t="s">
        <v>1590</v>
      </c>
      <c r="C6" s="301" t="s">
        <v>1585</v>
      </c>
      <c r="D6" s="303" t="s">
        <v>1586</v>
      </c>
      <c r="E6" s="304"/>
    </row>
    <row r="7" spans="1:5">
      <c r="A7" s="607">
        <v>9</v>
      </c>
      <c r="B7" s="305" t="s">
        <v>1591</v>
      </c>
      <c r="C7" s="301" t="s">
        <v>1585</v>
      </c>
      <c r="D7" s="301"/>
      <c r="E7" s="302"/>
    </row>
    <row r="8" spans="1:5">
      <c r="A8" s="608">
        <v>10</v>
      </c>
      <c r="B8" s="306" t="s">
        <v>1592</v>
      </c>
      <c r="C8" s="307" t="s">
        <v>1588</v>
      </c>
      <c r="D8" s="307"/>
      <c r="E8" s="308"/>
    </row>
    <row r="9" spans="1:5">
      <c r="A9" s="609">
        <v>11</v>
      </c>
      <c r="B9" s="305" t="s">
        <v>1593</v>
      </c>
      <c r="C9" s="301" t="s">
        <v>1594</v>
      </c>
      <c r="D9" s="301"/>
      <c r="E9" s="302"/>
    </row>
    <row r="10" spans="1:5">
      <c r="A10" s="609">
        <v>12</v>
      </c>
      <c r="B10" s="305" t="s">
        <v>1595</v>
      </c>
      <c r="C10" s="301" t="s">
        <v>1582</v>
      </c>
      <c r="D10" s="301"/>
      <c r="E10" s="302"/>
    </row>
    <row r="11" spans="1:5">
      <c r="A11" s="610">
        <v>13</v>
      </c>
      <c r="B11" s="306" t="s">
        <v>1596</v>
      </c>
      <c r="C11" s="307" t="s">
        <v>1597</v>
      </c>
      <c r="D11" s="307"/>
      <c r="E11" s="308"/>
    </row>
    <row r="12" spans="1:5">
      <c r="A12" s="610">
        <v>14</v>
      </c>
      <c r="B12" s="306" t="s">
        <v>1598</v>
      </c>
      <c r="C12" s="307" t="s">
        <v>1583</v>
      </c>
      <c r="D12" s="307"/>
      <c r="E12" s="308"/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53"/>
  <sheetViews>
    <sheetView topLeftCell="A22" workbookViewId="0">
      <selection activeCell="E13" sqref="E13:E24"/>
    </sheetView>
  </sheetViews>
  <sheetFormatPr defaultRowHeight="15"/>
  <cols>
    <col min="1" max="1" width="43.28515625" style="3" customWidth="1"/>
    <col min="2" max="2" width="36.28515625" customWidth="1"/>
    <col min="3" max="3" width="13.5703125" customWidth="1"/>
    <col min="4" max="4" width="21.28515625" customWidth="1"/>
    <col min="5" max="5" width="25.42578125" customWidth="1"/>
  </cols>
  <sheetData>
    <row r="1" spans="1:5">
      <c r="A1" s="3" t="s">
        <v>1479</v>
      </c>
      <c r="B1" t="s">
        <v>1480</v>
      </c>
      <c r="C1" t="s">
        <v>1481</v>
      </c>
      <c r="D1" t="s">
        <v>396</v>
      </c>
      <c r="E1" t="s">
        <v>1272</v>
      </c>
    </row>
    <row r="2" spans="1:5">
      <c r="A2" s="206" t="s">
        <v>1285</v>
      </c>
      <c r="B2" s="176" t="s">
        <v>1282</v>
      </c>
      <c r="C2" t="s">
        <v>1439</v>
      </c>
      <c r="E2" t="str">
        <f>"[fm"&amp;Таблица111[[#This Row],[Имя]]&amp;"]"</f>
        <v>[fmfВидШаблона]</v>
      </c>
    </row>
    <row r="3" spans="1:5" ht="15.75" thickBot="1">
      <c r="A3" s="207" t="s">
        <v>10</v>
      </c>
      <c r="B3" s="145" t="s">
        <v>10</v>
      </c>
      <c r="C3" t="s">
        <v>1441</v>
      </c>
      <c r="E3" t="str">
        <f>"[fm"&amp;Таблица111[[#This Row],[Имя]]&amp;"]"</f>
        <v>[fmfЛісництво]</v>
      </c>
    </row>
    <row r="4" spans="1:5">
      <c r="A4" s="207" t="s">
        <v>15</v>
      </c>
      <c r="B4" s="143" t="s">
        <v>15</v>
      </c>
      <c r="C4" t="s">
        <v>1440</v>
      </c>
      <c r="E4" t="str">
        <f>"[fm"&amp;Таблица111[[#This Row],[Имя]]&amp;"]"</f>
        <v>[fmfВидРубки]</v>
      </c>
    </row>
    <row r="5" spans="1:5">
      <c r="A5" s="207" t="s">
        <v>1379</v>
      </c>
      <c r="E5" t="str">
        <f>"[fm"&amp;Таблица111[[#This Row],[Имя]]&amp;"]"</f>
        <v>[fm]</v>
      </c>
    </row>
    <row r="6" spans="1:5" ht="15.75" thickBot="1">
      <c r="A6" s="207" t="s">
        <v>1380</v>
      </c>
      <c r="E6" t="str">
        <f>"[fm"&amp;Таблица111[[#This Row],[Имя]]&amp;"]"</f>
        <v>[fm]</v>
      </c>
    </row>
    <row r="7" spans="1:5" ht="16.5" thickBot="1">
      <c r="A7" s="207" t="s">
        <v>1361</v>
      </c>
      <c r="B7" s="203" t="s">
        <v>1361</v>
      </c>
      <c r="C7" t="s">
        <v>1442</v>
      </c>
      <c r="E7" t="str">
        <f>"[fm"&amp;Таблица111[[#This Row],[Имя]]&amp;"]"</f>
        <v>[fmfРозрядВисот]</v>
      </c>
    </row>
    <row r="8" spans="1:5" ht="16.5" thickBot="1">
      <c r="A8" s="207" t="s">
        <v>1363</v>
      </c>
      <c r="B8" s="203" t="s">
        <v>1363</v>
      </c>
      <c r="C8" t="s">
        <v>1443</v>
      </c>
      <c r="E8" t="str">
        <f>"[fm"&amp;Таблица111[[#This Row],[Имя]]&amp;"]"</f>
        <v>[fmfУмовиРоботи]</v>
      </c>
    </row>
    <row r="9" spans="1:5">
      <c r="A9" s="208" t="s">
        <v>1381</v>
      </c>
      <c r="B9" s="145" t="s">
        <v>5</v>
      </c>
      <c r="C9" s="223" t="s">
        <v>1482</v>
      </c>
      <c r="E9" t="str">
        <f>"[fm"&amp;Таблица111[[#This Row],[Имя]]&amp;"]"</f>
        <v>[fmfКвартал]</v>
      </c>
    </row>
    <row r="10" spans="1:5">
      <c r="A10" s="208" t="s">
        <v>1382</v>
      </c>
      <c r="C10" s="223" t="s">
        <v>1483</v>
      </c>
      <c r="E10" t="str">
        <f>"[fm"&amp;Таблица111[[#This Row],[Имя]]&amp;"]"</f>
        <v>[fmfВидел]</v>
      </c>
    </row>
    <row r="11" spans="1:5" ht="15.75" thickBot="1">
      <c r="A11" s="208" t="s">
        <v>1383</v>
      </c>
      <c r="B11" s="145" t="s">
        <v>3</v>
      </c>
      <c r="C11" t="s">
        <v>1444</v>
      </c>
      <c r="E11" t="str">
        <f>"[fm"&amp;Таблица111[[#This Row],[Имя]]&amp;"]"</f>
        <v>[fmfПлощадь]</v>
      </c>
    </row>
    <row r="12" spans="1:5" ht="16.5" thickBot="1">
      <c r="A12" s="208" t="s">
        <v>1384</v>
      </c>
      <c r="B12" s="203" t="s">
        <v>1370</v>
      </c>
      <c r="C12" t="s">
        <v>1445</v>
      </c>
      <c r="E12" t="str">
        <f>"[fm"&amp;Таблица111[[#This Row],[Имя]]&amp;"]"</f>
        <v>[fmfКілДерев]</v>
      </c>
    </row>
    <row r="13" spans="1:5">
      <c r="A13" s="209" t="s">
        <v>1385</v>
      </c>
      <c r="B13" s="209" t="s">
        <v>1385</v>
      </c>
      <c r="C13" s="209" t="s">
        <v>1385</v>
      </c>
      <c r="E13" t="str">
        <f>"[fm"&amp;Таблица111[[#This Row],[Имя]]&amp;"]"</f>
        <v>[fmЗнач1]</v>
      </c>
    </row>
    <row r="14" spans="1:5">
      <c r="A14" s="209" t="s">
        <v>1386</v>
      </c>
      <c r="B14" s="209" t="s">
        <v>1386</v>
      </c>
      <c r="C14" s="209" t="s">
        <v>1386</v>
      </c>
      <c r="E14" t="str">
        <f>"[fm"&amp;Таблица111[[#This Row],[Имя]]&amp;"]"</f>
        <v>[fmЗнач2]</v>
      </c>
    </row>
    <row r="15" spans="1:5">
      <c r="A15" s="209" t="s">
        <v>1387</v>
      </c>
      <c r="B15" s="209" t="s">
        <v>1387</v>
      </c>
      <c r="C15" s="209" t="s">
        <v>1387</v>
      </c>
      <c r="E15" t="str">
        <f>"[fm"&amp;Таблица111[[#This Row],[Имя]]&amp;"]"</f>
        <v>[fmЗнач3]</v>
      </c>
    </row>
    <row r="16" spans="1:5">
      <c r="A16" s="209" t="s">
        <v>1388</v>
      </c>
      <c r="B16" s="209" t="s">
        <v>1388</v>
      </c>
      <c r="C16" s="209" t="s">
        <v>1388</v>
      </c>
      <c r="E16" t="str">
        <f>"[fm"&amp;Таблица111[[#This Row],[Имя]]&amp;"]"</f>
        <v>[fmЗнач4]</v>
      </c>
    </row>
    <row r="17" spans="1:5">
      <c r="A17" s="209" t="s">
        <v>1389</v>
      </c>
      <c r="B17" s="209" t="s">
        <v>1389</v>
      </c>
      <c r="C17" s="209" t="s">
        <v>1389</v>
      </c>
      <c r="E17" t="str">
        <f>"[fm"&amp;Таблица111[[#This Row],[Имя]]&amp;"]"</f>
        <v>[fmЗнач5]</v>
      </c>
    </row>
    <row r="18" spans="1:5">
      <c r="A18" s="209" t="s">
        <v>1390</v>
      </c>
      <c r="B18" s="209" t="s">
        <v>1390</v>
      </c>
      <c r="C18" s="209" t="s">
        <v>1390</v>
      </c>
      <c r="E18" t="str">
        <f>"[fm"&amp;Таблица111[[#This Row],[Имя]]&amp;"]"</f>
        <v>[fmЗнач6]</v>
      </c>
    </row>
    <row r="19" spans="1:5">
      <c r="A19" s="209" t="s">
        <v>1391</v>
      </c>
      <c r="B19" s="209" t="s">
        <v>1391</v>
      </c>
      <c r="C19" s="209" t="s">
        <v>1391</v>
      </c>
      <c r="E19" t="str">
        <f>"[fm"&amp;Таблица111[[#This Row],[Имя]]&amp;"]"</f>
        <v>[fmЗнач7]</v>
      </c>
    </row>
    <row r="20" spans="1:5">
      <c r="A20" s="209" t="s">
        <v>1392</v>
      </c>
      <c r="B20" s="209" t="s">
        <v>1392</v>
      </c>
      <c r="C20" s="209" t="s">
        <v>1392</v>
      </c>
      <c r="E20" t="str">
        <f>"[fm"&amp;Таблица111[[#This Row],[Имя]]&amp;"]"</f>
        <v>[fmЗнач8]</v>
      </c>
    </row>
    <row r="21" spans="1:5">
      <c r="A21" s="209" t="s">
        <v>1393</v>
      </c>
      <c r="B21" s="209" t="s">
        <v>1393</v>
      </c>
      <c r="C21" s="209" t="s">
        <v>1393</v>
      </c>
      <c r="E21" t="str">
        <f>"[fm"&amp;Таблица111[[#This Row],[Имя]]&amp;"]"</f>
        <v>[fmЗнач9]</v>
      </c>
    </row>
    <row r="22" spans="1:5">
      <c r="A22" s="209" t="s">
        <v>1394</v>
      </c>
      <c r="B22" s="209" t="s">
        <v>1394</v>
      </c>
      <c r="C22" s="209" t="s">
        <v>1394</v>
      </c>
      <c r="E22" t="str">
        <f>"[fm"&amp;Таблица111[[#This Row],[Имя]]&amp;"]"</f>
        <v>[fmЗнач10]</v>
      </c>
    </row>
    <row r="23" spans="1:5">
      <c r="A23" s="209" t="s">
        <v>1395</v>
      </c>
      <c r="B23" s="209" t="s">
        <v>1395</v>
      </c>
      <c r="C23" s="209" t="s">
        <v>1395</v>
      </c>
      <c r="E23" t="str">
        <f>"[fm"&amp;Таблица111[[#This Row],[Имя]]&amp;"]"</f>
        <v>[fmЗнач11]</v>
      </c>
    </row>
    <row r="24" spans="1:5" ht="15.75" thickBot="1">
      <c r="A24" s="209" t="s">
        <v>1396</v>
      </c>
      <c r="B24" s="209" t="s">
        <v>1396</v>
      </c>
      <c r="C24" s="209" t="s">
        <v>1396</v>
      </c>
      <c r="E24" t="str">
        <f>"[fm"&amp;Таблица111[[#This Row],[Имя]]&amp;"]"</f>
        <v>[fmЗнач12]</v>
      </c>
    </row>
    <row r="25" spans="1:5" ht="15.75">
      <c r="A25" s="209" t="s">
        <v>1397</v>
      </c>
      <c r="B25" s="204" t="s">
        <v>1364</v>
      </c>
      <c r="C25" t="s">
        <v>1446</v>
      </c>
      <c r="E25" t="str">
        <f>"[fm"&amp;Таблица111[[#This Row],[Имя]]&amp;"]"</f>
        <v>[fmfСерОбХл]</v>
      </c>
    </row>
    <row r="26" spans="1:5">
      <c r="A26" s="209" t="s">
        <v>1398</v>
      </c>
      <c r="B26" s="221" t="s">
        <v>1473</v>
      </c>
      <c r="C26" t="s">
        <v>1575</v>
      </c>
      <c r="E26" t="str">
        <f>"[fm"&amp;Таблица111[[#This Row],[Имя]]&amp;"]"</f>
        <v>[fmfЛіквід_Вибір]</v>
      </c>
    </row>
    <row r="27" spans="1:5">
      <c r="A27" s="209" t="s">
        <v>1399</v>
      </c>
      <c r="E27" t="str">
        <f>"[fm"&amp;Таблица111[[#This Row],[Имя]]&amp;"]"</f>
        <v>[fm]</v>
      </c>
    </row>
    <row r="28" spans="1:5">
      <c r="A28" s="209" t="s">
        <v>1400</v>
      </c>
      <c r="B28" s="209" t="s">
        <v>1469</v>
      </c>
      <c r="C28" t="s">
        <v>1472</v>
      </c>
      <c r="E28" t="str">
        <f>"[fm"&amp;Таблица111[[#This Row],[Имя]]&amp;"]"</f>
        <v>[fmfВитрати_сорт_ручне]</v>
      </c>
    </row>
    <row r="29" spans="1:5">
      <c r="A29" s="209" t="s">
        <v>1401</v>
      </c>
      <c r="B29" s="209" t="s">
        <v>1470</v>
      </c>
      <c r="C29" t="s">
        <v>1471</v>
      </c>
      <c r="E29" t="str">
        <f>"[fm"&amp;Таблица111[[#This Row],[Имя]]&amp;"]"</f>
        <v>[fmfВитрати_хлисти_мех]</v>
      </c>
    </row>
    <row r="30" spans="1:5">
      <c r="A30" s="209" t="s">
        <v>1402</v>
      </c>
      <c r="B30" s="209" t="s">
        <v>1402</v>
      </c>
      <c r="C30" t="s">
        <v>1474</v>
      </c>
      <c r="E30" t="str">
        <f>"[fm"&amp;Таблица111[[#This Row],[Имя]]&amp;"]"</f>
        <v>[fmfНелеквід]</v>
      </c>
    </row>
    <row r="31" spans="1:5">
      <c r="A31" s="209" t="s">
        <v>1403</v>
      </c>
      <c r="E31" t="str">
        <f>"[fm"&amp;Таблица111[[#This Row],[Имя]]&amp;"]"</f>
        <v>[fm]</v>
      </c>
    </row>
    <row r="32" spans="1:5">
      <c r="A32" s="209" t="s">
        <v>1404</v>
      </c>
      <c r="B32" s="145" t="s">
        <v>1156</v>
      </c>
      <c r="C32" t="s">
        <v>1476</v>
      </c>
      <c r="E32" t="str">
        <f>"[fm"&amp;Таблица111[[#This Row],[Имя]]&amp;"]"</f>
        <v>[fmf№ДП]</v>
      </c>
    </row>
    <row r="33" spans="1:5">
      <c r="A33" s="209" t="s">
        <v>1405</v>
      </c>
      <c r="E33" t="str">
        <f>"[fm"&amp;Таблица111[[#This Row],[Имя]]&amp;"]"</f>
        <v>[fm]</v>
      </c>
    </row>
    <row r="34" spans="1:5">
      <c r="A34" s="209" t="s">
        <v>1406</v>
      </c>
      <c r="E34" t="str">
        <f>"[fm"&amp;Таблица111[[#This Row],[Имя]]&amp;"]"</f>
        <v>[fm]</v>
      </c>
    </row>
    <row r="35" spans="1:5">
      <c r="A35" s="209" t="s">
        <v>1407</v>
      </c>
      <c r="E35" t="str">
        <f>"[fm"&amp;Таблица111[[#This Row],[Имя]]&amp;"]"</f>
        <v>[fm]</v>
      </c>
    </row>
    <row r="36" spans="1:5">
      <c r="A36" s="209" t="s">
        <v>1408</v>
      </c>
      <c r="E36" t="str">
        <f>"[fm"&amp;Таблица111[[#This Row],[Имя]]&amp;"]"</f>
        <v>[fm]</v>
      </c>
    </row>
    <row r="37" spans="1:5">
      <c r="A37" s="209" t="s">
        <v>1409</v>
      </c>
      <c r="B37" s="145" t="s">
        <v>1257</v>
      </c>
      <c r="C37" t="s">
        <v>1477</v>
      </c>
      <c r="E37" t="str">
        <f>"[fm"&amp;Таблица111[[#This Row],[Имя]]&amp;"]"</f>
        <v>[fmfПочатокРобіт]</v>
      </c>
    </row>
    <row r="38" spans="1:5">
      <c r="A38" s="209" t="s">
        <v>1410</v>
      </c>
      <c r="E38" t="str">
        <f>"[fm"&amp;Таблица111[[#This Row],[Имя]]&amp;"]"</f>
        <v>[fm]</v>
      </c>
    </row>
    <row r="39" spans="1:5">
      <c r="A39" s="209" t="s">
        <v>1411</v>
      </c>
      <c r="B39" s="145" t="s">
        <v>6</v>
      </c>
      <c r="C39" t="s">
        <v>1616</v>
      </c>
      <c r="E39" t="str">
        <f>"[fm"&amp;Таблица111[[#This Row],[Имя]]&amp;"]"</f>
        <v>[fmfМастер_Вибір]</v>
      </c>
    </row>
    <row r="40" spans="1:5">
      <c r="A40" s="210" t="s">
        <v>1412</v>
      </c>
      <c r="E40" t="str">
        <f>"[fm"&amp;Таблица111[[#This Row],[Имя]]&amp;"]"</f>
        <v>[fm]</v>
      </c>
    </row>
    <row r="41" spans="1:5">
      <c r="A41" s="210" t="s">
        <v>1413</v>
      </c>
      <c r="E41" t="str">
        <f>"[fm"&amp;Таблица111[[#This Row],[Имя]]&amp;"]"</f>
        <v>[fm]</v>
      </c>
    </row>
    <row r="42" spans="1:5">
      <c r="A42" s="210" t="s">
        <v>1414</v>
      </c>
      <c r="B42" s="145"/>
      <c r="C42" s="223"/>
      <c r="E42" t="str">
        <f>"[fm"&amp;Таблица111[[#This Row],[Имя]]&amp;"]"</f>
        <v>[fm]</v>
      </c>
    </row>
    <row r="43" spans="1:5">
      <c r="A43" s="209" t="s">
        <v>1415</v>
      </c>
      <c r="C43" s="223" t="s">
        <v>1488</v>
      </c>
      <c r="E43" t="str">
        <f>"[fm"&amp;Таблица111[[#This Row],[Имя]]&amp;"]"</f>
        <v>[fmf№ЛК]</v>
      </c>
    </row>
    <row r="44" spans="1:5">
      <c r="A44" s="211" t="s">
        <v>1317</v>
      </c>
      <c r="C44" s="223" t="s">
        <v>1489</v>
      </c>
      <c r="E44" t="str">
        <f>"[fm"&amp;Таблица111[[#This Row],[Имя]]&amp;"]"</f>
        <v>[fmf№ЛКДата]</v>
      </c>
    </row>
    <row r="45" spans="1:5">
      <c r="A45" s="209" t="s">
        <v>1416</v>
      </c>
      <c r="E45" t="str">
        <f>"[fm"&amp;Таблица111[[#This Row],[Имя]]&amp;"]"</f>
        <v>[fm]</v>
      </c>
    </row>
    <row r="46" spans="1:5">
      <c r="A46" s="209" t="s">
        <v>1417</v>
      </c>
      <c r="B46" s="256" t="s">
        <v>1417</v>
      </c>
      <c r="E46" t="str">
        <f>"[fm"&amp;Таблица111[[#This Row],[Имя]]&amp;"]"</f>
        <v>[fm]</v>
      </c>
    </row>
    <row r="47" spans="1:5">
      <c r="A47" s="209" t="s">
        <v>1418</v>
      </c>
      <c r="E47" t="str">
        <f>"[fm"&amp;Таблица111[[#This Row],[Имя]]&amp;"]"</f>
        <v>[fm]</v>
      </c>
    </row>
    <row r="48" spans="1:5">
      <c r="A48" s="209" t="s">
        <v>1419</v>
      </c>
      <c r="E48" t="str">
        <f>"[fm"&amp;Таблица111[[#This Row],[Имя]]&amp;"]"</f>
        <v>[fm]</v>
      </c>
    </row>
    <row r="49" spans="1:5">
      <c r="A49" s="209" t="s">
        <v>1420</v>
      </c>
      <c r="E49" t="str">
        <f>"[fm"&amp;Таблица111[[#This Row],[Имя]]&amp;"]"</f>
        <v>[fm]</v>
      </c>
    </row>
    <row r="50" spans="1:5">
      <c r="A50" s="209" t="s">
        <v>1421</v>
      </c>
      <c r="E50" t="str">
        <f>"[fm"&amp;Таблица111[[#This Row],[Имя]]&amp;"]"</f>
        <v>[fm]</v>
      </c>
    </row>
    <row r="51" spans="1:5" ht="15.75" thickBot="1">
      <c r="A51" s="209" t="s">
        <v>1437</v>
      </c>
      <c r="E51" t="str">
        <f>"[fm"&amp;Таблица111[[#This Row],[Имя]]&amp;"]"</f>
        <v>[fm]</v>
      </c>
    </row>
    <row r="52" spans="1:5">
      <c r="A52" s="234" t="s">
        <v>13</v>
      </c>
      <c r="B52" s="143" t="s">
        <v>1032</v>
      </c>
      <c r="C52" t="s">
        <v>1515</v>
      </c>
      <c r="E52" t="str">
        <f>"[fm"&amp;Таблица111[[#This Row],[Имя]]&amp;"]"</f>
        <v>[fmfСокр_Виконавець_Вибір]</v>
      </c>
    </row>
    <row r="53" spans="1:5">
      <c r="A53" s="212" t="s">
        <v>1438</v>
      </c>
      <c r="E53" t="str">
        <f>"[fm"&amp;Таблица111[[#This Row],[Имя]]&amp;"]"</f>
        <v>[fm]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tabColor indexed="52"/>
    <pageSetUpPr fitToPage="1"/>
  </sheetPr>
  <dimension ref="A1:BY657"/>
  <sheetViews>
    <sheetView zoomScale="120" zoomScaleNormal="120" workbookViewId="0">
      <pane xSplit="10" ySplit="1" topLeftCell="BO630" activePane="bottomRight" state="frozen"/>
      <selection pane="topRight" activeCell="K1" sqref="K1"/>
      <selection pane="bottomLeft" activeCell="A2" sqref="A2"/>
      <selection pane="bottomRight" activeCell="BW646" sqref="BW646"/>
    </sheetView>
  </sheetViews>
  <sheetFormatPr defaultRowHeight="12.75"/>
  <cols>
    <col min="1" max="1" width="13" style="370" bestFit="1" customWidth="1"/>
    <col min="2" max="2" width="15.7109375" style="370" bestFit="1" customWidth="1"/>
    <col min="3" max="3" width="15.140625" style="370" bestFit="1" customWidth="1"/>
    <col min="4" max="4" width="7" style="454" customWidth="1"/>
    <col min="5" max="5" width="8.28515625" style="370" customWidth="1"/>
    <col min="6" max="6" width="7.28515625" style="454" customWidth="1"/>
    <col min="7" max="7" width="18.7109375" style="370" bestFit="1" customWidth="1"/>
    <col min="8" max="8" width="9.5703125" style="454" bestFit="1" customWidth="1"/>
    <col min="9" max="9" width="10.85546875" style="372" bestFit="1" customWidth="1"/>
    <col min="10" max="10" width="14.140625" style="454" bestFit="1" customWidth="1"/>
    <col min="11" max="11" width="20.5703125" style="454" bestFit="1" customWidth="1"/>
    <col min="12" max="20" width="11.140625" style="454" bestFit="1" customWidth="1"/>
    <col min="21" max="23" width="12.140625" style="454" bestFit="1" customWidth="1"/>
    <col min="24" max="24" width="10.85546875" style="370" bestFit="1" customWidth="1"/>
    <col min="25" max="25" width="11.42578125" style="454" bestFit="1" customWidth="1"/>
    <col min="26" max="26" width="12" style="370" bestFit="1" customWidth="1"/>
    <col min="27" max="27" width="17.140625" style="370" bestFit="1" customWidth="1"/>
    <col min="28" max="28" width="13.140625" style="370" bestFit="1" customWidth="1"/>
    <col min="29" max="29" width="14.7109375" style="454" bestFit="1" customWidth="1"/>
    <col min="30" max="30" width="26" style="370" bestFit="1" customWidth="1"/>
    <col min="31" max="31" width="18.140625" style="370" bestFit="1" customWidth="1"/>
    <col min="32" max="32" width="8.7109375" style="454" customWidth="1"/>
    <col min="33" max="33" width="10.85546875" style="373" bestFit="1" customWidth="1"/>
    <col min="34" max="34" width="18.7109375" style="370" customWidth="1"/>
    <col min="35" max="35" width="8" style="370" customWidth="1"/>
    <col min="36" max="36" width="19.42578125" style="370" bestFit="1" customWidth="1"/>
    <col min="37" max="37" width="16.140625" style="370" bestFit="1" customWidth="1"/>
    <col min="38" max="38" width="20.7109375" style="370" bestFit="1" customWidth="1"/>
    <col min="39" max="39" width="9.5703125" style="374" customWidth="1"/>
    <col min="40" max="40" width="12" style="374" bestFit="1" customWidth="1"/>
    <col min="41" max="41" width="27.140625" style="454" bestFit="1" customWidth="1"/>
    <col min="42" max="42" width="83.28515625" style="454" bestFit="1" customWidth="1"/>
    <col min="43" max="43" width="13" style="375" bestFit="1" customWidth="1"/>
    <col min="44" max="44" width="17.140625" style="370" bestFit="1" customWidth="1"/>
    <col min="45" max="45" width="18.5703125" style="370" bestFit="1" customWidth="1"/>
    <col min="46" max="46" width="20.7109375" style="370" bestFit="1" customWidth="1"/>
    <col min="47" max="47" width="20.5703125" style="370" bestFit="1" customWidth="1"/>
    <col min="48" max="48" width="22.140625" style="370" bestFit="1" customWidth="1"/>
    <col min="49" max="49" width="19.5703125" style="370" bestFit="1" customWidth="1"/>
    <col min="50" max="50" width="14.42578125" style="370" bestFit="1" customWidth="1"/>
    <col min="51" max="51" width="17" style="370" bestFit="1" customWidth="1"/>
    <col min="52" max="52" width="15.7109375" style="370" bestFit="1" customWidth="1"/>
    <col min="53" max="53" width="15.28515625" style="370" bestFit="1" customWidth="1"/>
    <col min="54" max="54" width="12.42578125" style="374" customWidth="1"/>
    <col min="55" max="55" width="13.42578125" style="454" bestFit="1" customWidth="1"/>
    <col min="56" max="56" width="9.140625" style="372"/>
    <col min="57" max="58" width="9.140625" style="454"/>
    <col min="59" max="59" width="9.140625" style="370"/>
    <col min="60" max="63" width="9.140625" style="454"/>
    <col min="64" max="64" width="9.140625" style="370"/>
    <col min="65" max="65" width="9.140625" style="454"/>
    <col min="66" max="248" width="9.140625" style="370"/>
    <col min="249" max="249" width="13" style="370" bestFit="1" customWidth="1"/>
    <col min="250" max="250" width="15.7109375" style="370" bestFit="1" customWidth="1"/>
    <col min="251" max="251" width="15.140625" style="370" bestFit="1" customWidth="1"/>
    <col min="252" max="252" width="7" style="370" customWidth="1"/>
    <col min="253" max="253" width="8.28515625" style="370" customWidth="1"/>
    <col min="254" max="254" width="7.28515625" style="370" customWidth="1"/>
    <col min="255" max="255" width="18.7109375" style="370" bestFit="1" customWidth="1"/>
    <col min="256" max="256" width="9.5703125" style="370" bestFit="1" customWidth="1"/>
    <col min="257" max="257" width="10.85546875" style="370" bestFit="1" customWidth="1"/>
    <col min="258" max="258" width="14.140625" style="370" bestFit="1" customWidth="1"/>
    <col min="259" max="259" width="20.5703125" style="370" bestFit="1" customWidth="1"/>
    <col min="260" max="268" width="11.140625" style="370" bestFit="1" customWidth="1"/>
    <col min="269" max="271" width="12.140625" style="370" bestFit="1" customWidth="1"/>
    <col min="272" max="272" width="10.85546875" style="370" bestFit="1" customWidth="1"/>
    <col min="273" max="273" width="11.42578125" style="370" bestFit="1" customWidth="1"/>
    <col min="274" max="274" width="12" style="370" bestFit="1" customWidth="1"/>
    <col min="275" max="275" width="17.140625" style="370" bestFit="1" customWidth="1"/>
    <col min="276" max="276" width="13.140625" style="370" bestFit="1" customWidth="1"/>
    <col min="277" max="277" width="14.7109375" style="370" bestFit="1" customWidth="1"/>
    <col min="278" max="278" width="26" style="370" bestFit="1" customWidth="1"/>
    <col min="279" max="279" width="18.140625" style="370" bestFit="1" customWidth="1"/>
    <col min="280" max="280" width="8.7109375" style="370" customWidth="1"/>
    <col min="281" max="281" width="10.140625" style="370" customWidth="1"/>
    <col min="282" max="282" width="18.7109375" style="370" customWidth="1"/>
    <col min="283" max="283" width="8" style="370" customWidth="1"/>
    <col min="284" max="284" width="19.42578125" style="370" bestFit="1" customWidth="1"/>
    <col min="285" max="285" width="16.140625" style="370" bestFit="1" customWidth="1"/>
    <col min="286" max="286" width="20.7109375" style="370" bestFit="1" customWidth="1"/>
    <col min="287" max="287" width="9.5703125" style="370" customWidth="1"/>
    <col min="288" max="288" width="12" style="370" bestFit="1" customWidth="1"/>
    <col min="289" max="289" width="27.140625" style="370" bestFit="1" customWidth="1"/>
    <col min="290" max="290" width="83.28515625" style="370" bestFit="1" customWidth="1"/>
    <col min="291" max="291" width="13" style="370" bestFit="1" customWidth="1"/>
    <col min="292" max="292" width="17.140625" style="370" bestFit="1" customWidth="1"/>
    <col min="293" max="293" width="18.5703125" style="370" bestFit="1" customWidth="1"/>
    <col min="294" max="294" width="20.7109375" style="370" bestFit="1" customWidth="1"/>
    <col min="295" max="295" width="20.5703125" style="370" bestFit="1" customWidth="1"/>
    <col min="296" max="296" width="22.140625" style="370" bestFit="1" customWidth="1"/>
    <col min="297" max="297" width="19.5703125" style="370" bestFit="1" customWidth="1"/>
    <col min="298" max="298" width="14.42578125" style="370" bestFit="1" customWidth="1"/>
    <col min="299" max="299" width="17" style="370" bestFit="1" customWidth="1"/>
    <col min="300" max="300" width="15.7109375" style="370" bestFit="1" customWidth="1"/>
    <col min="301" max="301" width="15.28515625" style="370" bestFit="1" customWidth="1"/>
    <col min="302" max="302" width="12.42578125" style="370" customWidth="1"/>
    <col min="303" max="303" width="13.42578125" style="370" bestFit="1" customWidth="1"/>
    <col min="304" max="504" width="9.140625" style="370"/>
    <col min="505" max="505" width="13" style="370" bestFit="1" customWidth="1"/>
    <col min="506" max="506" width="15.7109375" style="370" bestFit="1" customWidth="1"/>
    <col min="507" max="507" width="15.140625" style="370" bestFit="1" customWidth="1"/>
    <col min="508" max="508" width="7" style="370" customWidth="1"/>
    <col min="509" max="509" width="8.28515625" style="370" customWidth="1"/>
    <col min="510" max="510" width="7.28515625" style="370" customWidth="1"/>
    <col min="511" max="511" width="18.7109375" style="370" bestFit="1" customWidth="1"/>
    <col min="512" max="512" width="9.5703125" style="370" bestFit="1" customWidth="1"/>
    <col min="513" max="513" width="10.85546875" style="370" bestFit="1" customWidth="1"/>
    <col min="514" max="514" width="14.140625" style="370" bestFit="1" customWidth="1"/>
    <col min="515" max="515" width="20.5703125" style="370" bestFit="1" customWidth="1"/>
    <col min="516" max="524" width="11.140625" style="370" bestFit="1" customWidth="1"/>
    <col min="525" max="527" width="12.140625" style="370" bestFit="1" customWidth="1"/>
    <col min="528" max="528" width="10.85546875" style="370" bestFit="1" customWidth="1"/>
    <col min="529" max="529" width="11.42578125" style="370" bestFit="1" customWidth="1"/>
    <col min="530" max="530" width="12" style="370" bestFit="1" customWidth="1"/>
    <col min="531" max="531" width="17.140625" style="370" bestFit="1" customWidth="1"/>
    <col min="532" max="532" width="13.140625" style="370" bestFit="1" customWidth="1"/>
    <col min="533" max="533" width="14.7109375" style="370" bestFit="1" customWidth="1"/>
    <col min="534" max="534" width="26" style="370" bestFit="1" customWidth="1"/>
    <col min="535" max="535" width="18.140625" style="370" bestFit="1" customWidth="1"/>
    <col min="536" max="536" width="8.7109375" style="370" customWidth="1"/>
    <col min="537" max="537" width="10.140625" style="370" customWidth="1"/>
    <col min="538" max="538" width="18.7109375" style="370" customWidth="1"/>
    <col min="539" max="539" width="8" style="370" customWidth="1"/>
    <col min="540" max="540" width="19.42578125" style="370" bestFit="1" customWidth="1"/>
    <col min="541" max="541" width="16.140625" style="370" bestFit="1" customWidth="1"/>
    <col min="542" max="542" width="20.7109375" style="370" bestFit="1" customWidth="1"/>
    <col min="543" max="543" width="9.5703125" style="370" customWidth="1"/>
    <col min="544" max="544" width="12" style="370" bestFit="1" customWidth="1"/>
    <col min="545" max="545" width="27.140625" style="370" bestFit="1" customWidth="1"/>
    <col min="546" max="546" width="83.28515625" style="370" bestFit="1" customWidth="1"/>
    <col min="547" max="547" width="13" style="370" bestFit="1" customWidth="1"/>
    <col min="548" max="548" width="17.140625" style="370" bestFit="1" customWidth="1"/>
    <col min="549" max="549" width="18.5703125" style="370" bestFit="1" customWidth="1"/>
    <col min="550" max="550" width="20.7109375" style="370" bestFit="1" customWidth="1"/>
    <col min="551" max="551" width="20.5703125" style="370" bestFit="1" customWidth="1"/>
    <col min="552" max="552" width="22.140625" style="370" bestFit="1" customWidth="1"/>
    <col min="553" max="553" width="19.5703125" style="370" bestFit="1" customWidth="1"/>
    <col min="554" max="554" width="14.42578125" style="370" bestFit="1" customWidth="1"/>
    <col min="555" max="555" width="17" style="370" bestFit="1" customWidth="1"/>
    <col min="556" max="556" width="15.7109375" style="370" bestFit="1" customWidth="1"/>
    <col min="557" max="557" width="15.28515625" style="370" bestFit="1" customWidth="1"/>
    <col min="558" max="558" width="12.42578125" style="370" customWidth="1"/>
    <col min="559" max="559" width="13.42578125" style="370" bestFit="1" customWidth="1"/>
    <col min="560" max="760" width="9.140625" style="370"/>
    <col min="761" max="761" width="13" style="370" bestFit="1" customWidth="1"/>
    <col min="762" max="762" width="15.7109375" style="370" bestFit="1" customWidth="1"/>
    <col min="763" max="763" width="15.140625" style="370" bestFit="1" customWidth="1"/>
    <col min="764" max="764" width="7" style="370" customWidth="1"/>
    <col min="765" max="765" width="8.28515625" style="370" customWidth="1"/>
    <col min="766" max="766" width="7.28515625" style="370" customWidth="1"/>
    <col min="767" max="767" width="18.7109375" style="370" bestFit="1" customWidth="1"/>
    <col min="768" max="768" width="9.5703125" style="370" bestFit="1" customWidth="1"/>
    <col min="769" max="769" width="10.85546875" style="370" bestFit="1" customWidth="1"/>
    <col min="770" max="770" width="14.140625" style="370" bestFit="1" customWidth="1"/>
    <col min="771" max="771" width="20.5703125" style="370" bestFit="1" customWidth="1"/>
    <col min="772" max="780" width="11.140625" style="370" bestFit="1" customWidth="1"/>
    <col min="781" max="783" width="12.140625" style="370" bestFit="1" customWidth="1"/>
    <col min="784" max="784" width="10.85546875" style="370" bestFit="1" customWidth="1"/>
    <col min="785" max="785" width="11.42578125" style="370" bestFit="1" customWidth="1"/>
    <col min="786" max="786" width="12" style="370" bestFit="1" customWidth="1"/>
    <col min="787" max="787" width="17.140625" style="370" bestFit="1" customWidth="1"/>
    <col min="788" max="788" width="13.140625" style="370" bestFit="1" customWidth="1"/>
    <col min="789" max="789" width="14.7109375" style="370" bestFit="1" customWidth="1"/>
    <col min="790" max="790" width="26" style="370" bestFit="1" customWidth="1"/>
    <col min="791" max="791" width="18.140625" style="370" bestFit="1" customWidth="1"/>
    <col min="792" max="792" width="8.7109375" style="370" customWidth="1"/>
    <col min="793" max="793" width="10.140625" style="370" customWidth="1"/>
    <col min="794" max="794" width="18.7109375" style="370" customWidth="1"/>
    <col min="795" max="795" width="8" style="370" customWidth="1"/>
    <col min="796" max="796" width="19.42578125" style="370" bestFit="1" customWidth="1"/>
    <col min="797" max="797" width="16.140625" style="370" bestFit="1" customWidth="1"/>
    <col min="798" max="798" width="20.7109375" style="370" bestFit="1" customWidth="1"/>
    <col min="799" max="799" width="9.5703125" style="370" customWidth="1"/>
    <col min="800" max="800" width="12" style="370" bestFit="1" customWidth="1"/>
    <col min="801" max="801" width="27.140625" style="370" bestFit="1" customWidth="1"/>
    <col min="802" max="802" width="83.28515625" style="370" bestFit="1" customWidth="1"/>
    <col min="803" max="803" width="13" style="370" bestFit="1" customWidth="1"/>
    <col min="804" max="804" width="17.140625" style="370" bestFit="1" customWidth="1"/>
    <col min="805" max="805" width="18.5703125" style="370" bestFit="1" customWidth="1"/>
    <col min="806" max="806" width="20.7109375" style="370" bestFit="1" customWidth="1"/>
    <col min="807" max="807" width="20.5703125" style="370" bestFit="1" customWidth="1"/>
    <col min="808" max="808" width="22.140625" style="370" bestFit="1" customWidth="1"/>
    <col min="809" max="809" width="19.5703125" style="370" bestFit="1" customWidth="1"/>
    <col min="810" max="810" width="14.42578125" style="370" bestFit="1" customWidth="1"/>
    <col min="811" max="811" width="17" style="370" bestFit="1" customWidth="1"/>
    <col min="812" max="812" width="15.7109375" style="370" bestFit="1" customWidth="1"/>
    <col min="813" max="813" width="15.28515625" style="370" bestFit="1" customWidth="1"/>
    <col min="814" max="814" width="12.42578125" style="370" customWidth="1"/>
    <col min="815" max="815" width="13.42578125" style="370" bestFit="1" customWidth="1"/>
    <col min="816" max="1016" width="9.140625" style="370"/>
    <col min="1017" max="1017" width="13" style="370" bestFit="1" customWidth="1"/>
    <col min="1018" max="1018" width="15.7109375" style="370" bestFit="1" customWidth="1"/>
    <col min="1019" max="1019" width="15.140625" style="370" bestFit="1" customWidth="1"/>
    <col min="1020" max="1020" width="7" style="370" customWidth="1"/>
    <col min="1021" max="1021" width="8.28515625" style="370" customWidth="1"/>
    <col min="1022" max="1022" width="7.28515625" style="370" customWidth="1"/>
    <col min="1023" max="1023" width="18.7109375" style="370" bestFit="1" customWidth="1"/>
    <col min="1024" max="1024" width="9.5703125" style="370" bestFit="1" customWidth="1"/>
    <col min="1025" max="1025" width="10.85546875" style="370" bestFit="1" customWidth="1"/>
    <col min="1026" max="1026" width="14.140625" style="370" bestFit="1" customWidth="1"/>
    <col min="1027" max="1027" width="20.5703125" style="370" bestFit="1" customWidth="1"/>
    <col min="1028" max="1036" width="11.140625" style="370" bestFit="1" customWidth="1"/>
    <col min="1037" max="1039" width="12.140625" style="370" bestFit="1" customWidth="1"/>
    <col min="1040" max="1040" width="10.85546875" style="370" bestFit="1" customWidth="1"/>
    <col min="1041" max="1041" width="11.42578125" style="370" bestFit="1" customWidth="1"/>
    <col min="1042" max="1042" width="12" style="370" bestFit="1" customWidth="1"/>
    <col min="1043" max="1043" width="17.140625" style="370" bestFit="1" customWidth="1"/>
    <col min="1044" max="1044" width="13.140625" style="370" bestFit="1" customWidth="1"/>
    <col min="1045" max="1045" width="14.7109375" style="370" bestFit="1" customWidth="1"/>
    <col min="1046" max="1046" width="26" style="370" bestFit="1" customWidth="1"/>
    <col min="1047" max="1047" width="18.140625" style="370" bestFit="1" customWidth="1"/>
    <col min="1048" max="1048" width="8.7109375" style="370" customWidth="1"/>
    <col min="1049" max="1049" width="10.140625" style="370" customWidth="1"/>
    <col min="1050" max="1050" width="18.7109375" style="370" customWidth="1"/>
    <col min="1051" max="1051" width="8" style="370" customWidth="1"/>
    <col min="1052" max="1052" width="19.42578125" style="370" bestFit="1" customWidth="1"/>
    <col min="1053" max="1053" width="16.140625" style="370" bestFit="1" customWidth="1"/>
    <col min="1054" max="1054" width="20.7109375" style="370" bestFit="1" customWidth="1"/>
    <col min="1055" max="1055" width="9.5703125" style="370" customWidth="1"/>
    <col min="1056" max="1056" width="12" style="370" bestFit="1" customWidth="1"/>
    <col min="1057" max="1057" width="27.140625" style="370" bestFit="1" customWidth="1"/>
    <col min="1058" max="1058" width="83.28515625" style="370" bestFit="1" customWidth="1"/>
    <col min="1059" max="1059" width="13" style="370" bestFit="1" customWidth="1"/>
    <col min="1060" max="1060" width="17.140625" style="370" bestFit="1" customWidth="1"/>
    <col min="1061" max="1061" width="18.5703125" style="370" bestFit="1" customWidth="1"/>
    <col min="1062" max="1062" width="20.7109375" style="370" bestFit="1" customWidth="1"/>
    <col min="1063" max="1063" width="20.5703125" style="370" bestFit="1" customWidth="1"/>
    <col min="1064" max="1064" width="22.140625" style="370" bestFit="1" customWidth="1"/>
    <col min="1065" max="1065" width="19.5703125" style="370" bestFit="1" customWidth="1"/>
    <col min="1066" max="1066" width="14.42578125" style="370" bestFit="1" customWidth="1"/>
    <col min="1067" max="1067" width="17" style="370" bestFit="1" customWidth="1"/>
    <col min="1068" max="1068" width="15.7109375" style="370" bestFit="1" customWidth="1"/>
    <col min="1069" max="1069" width="15.28515625" style="370" bestFit="1" customWidth="1"/>
    <col min="1070" max="1070" width="12.42578125" style="370" customWidth="1"/>
    <col min="1071" max="1071" width="13.42578125" style="370" bestFit="1" customWidth="1"/>
    <col min="1072" max="1272" width="9.140625" style="370"/>
    <col min="1273" max="1273" width="13" style="370" bestFit="1" customWidth="1"/>
    <col min="1274" max="1274" width="15.7109375" style="370" bestFit="1" customWidth="1"/>
    <col min="1275" max="1275" width="15.140625" style="370" bestFit="1" customWidth="1"/>
    <col min="1276" max="1276" width="7" style="370" customWidth="1"/>
    <col min="1277" max="1277" width="8.28515625" style="370" customWidth="1"/>
    <col min="1278" max="1278" width="7.28515625" style="370" customWidth="1"/>
    <col min="1279" max="1279" width="18.7109375" style="370" bestFit="1" customWidth="1"/>
    <col min="1280" max="1280" width="9.5703125" style="370" bestFit="1" customWidth="1"/>
    <col min="1281" max="1281" width="10.85546875" style="370" bestFit="1" customWidth="1"/>
    <col min="1282" max="1282" width="14.140625" style="370" bestFit="1" customWidth="1"/>
    <col min="1283" max="1283" width="20.5703125" style="370" bestFit="1" customWidth="1"/>
    <col min="1284" max="1292" width="11.140625" style="370" bestFit="1" customWidth="1"/>
    <col min="1293" max="1295" width="12.140625" style="370" bestFit="1" customWidth="1"/>
    <col min="1296" max="1296" width="10.85546875" style="370" bestFit="1" customWidth="1"/>
    <col min="1297" max="1297" width="11.42578125" style="370" bestFit="1" customWidth="1"/>
    <col min="1298" max="1298" width="12" style="370" bestFit="1" customWidth="1"/>
    <col min="1299" max="1299" width="17.140625" style="370" bestFit="1" customWidth="1"/>
    <col min="1300" max="1300" width="13.140625" style="370" bestFit="1" customWidth="1"/>
    <col min="1301" max="1301" width="14.7109375" style="370" bestFit="1" customWidth="1"/>
    <col min="1302" max="1302" width="26" style="370" bestFit="1" customWidth="1"/>
    <col min="1303" max="1303" width="18.140625" style="370" bestFit="1" customWidth="1"/>
    <col min="1304" max="1304" width="8.7109375" style="370" customWidth="1"/>
    <col min="1305" max="1305" width="10.140625" style="370" customWidth="1"/>
    <col min="1306" max="1306" width="18.7109375" style="370" customWidth="1"/>
    <col min="1307" max="1307" width="8" style="370" customWidth="1"/>
    <col min="1308" max="1308" width="19.42578125" style="370" bestFit="1" customWidth="1"/>
    <col min="1309" max="1309" width="16.140625" style="370" bestFit="1" customWidth="1"/>
    <col min="1310" max="1310" width="20.7109375" style="370" bestFit="1" customWidth="1"/>
    <col min="1311" max="1311" width="9.5703125" style="370" customWidth="1"/>
    <col min="1312" max="1312" width="12" style="370" bestFit="1" customWidth="1"/>
    <col min="1313" max="1313" width="27.140625" style="370" bestFit="1" customWidth="1"/>
    <col min="1314" max="1314" width="83.28515625" style="370" bestFit="1" customWidth="1"/>
    <col min="1315" max="1315" width="13" style="370" bestFit="1" customWidth="1"/>
    <col min="1316" max="1316" width="17.140625" style="370" bestFit="1" customWidth="1"/>
    <col min="1317" max="1317" width="18.5703125" style="370" bestFit="1" customWidth="1"/>
    <col min="1318" max="1318" width="20.7109375" style="370" bestFit="1" customWidth="1"/>
    <col min="1319" max="1319" width="20.5703125" style="370" bestFit="1" customWidth="1"/>
    <col min="1320" max="1320" width="22.140625" style="370" bestFit="1" customWidth="1"/>
    <col min="1321" max="1321" width="19.5703125" style="370" bestFit="1" customWidth="1"/>
    <col min="1322" max="1322" width="14.42578125" style="370" bestFit="1" customWidth="1"/>
    <col min="1323" max="1323" width="17" style="370" bestFit="1" customWidth="1"/>
    <col min="1324" max="1324" width="15.7109375" style="370" bestFit="1" customWidth="1"/>
    <col min="1325" max="1325" width="15.28515625" style="370" bestFit="1" customWidth="1"/>
    <col min="1326" max="1326" width="12.42578125" style="370" customWidth="1"/>
    <col min="1327" max="1327" width="13.42578125" style="370" bestFit="1" customWidth="1"/>
    <col min="1328" max="1528" width="9.140625" style="370"/>
    <col min="1529" max="1529" width="13" style="370" bestFit="1" customWidth="1"/>
    <col min="1530" max="1530" width="15.7109375" style="370" bestFit="1" customWidth="1"/>
    <col min="1531" max="1531" width="15.140625" style="370" bestFit="1" customWidth="1"/>
    <col min="1532" max="1532" width="7" style="370" customWidth="1"/>
    <col min="1533" max="1533" width="8.28515625" style="370" customWidth="1"/>
    <col min="1534" max="1534" width="7.28515625" style="370" customWidth="1"/>
    <col min="1535" max="1535" width="18.7109375" style="370" bestFit="1" customWidth="1"/>
    <col min="1536" max="1536" width="9.5703125" style="370" bestFit="1" customWidth="1"/>
    <col min="1537" max="1537" width="10.85546875" style="370" bestFit="1" customWidth="1"/>
    <col min="1538" max="1538" width="14.140625" style="370" bestFit="1" customWidth="1"/>
    <col min="1539" max="1539" width="20.5703125" style="370" bestFit="1" customWidth="1"/>
    <col min="1540" max="1548" width="11.140625" style="370" bestFit="1" customWidth="1"/>
    <col min="1549" max="1551" width="12.140625" style="370" bestFit="1" customWidth="1"/>
    <col min="1552" max="1552" width="10.85546875" style="370" bestFit="1" customWidth="1"/>
    <col min="1553" max="1553" width="11.42578125" style="370" bestFit="1" customWidth="1"/>
    <col min="1554" max="1554" width="12" style="370" bestFit="1" customWidth="1"/>
    <col min="1555" max="1555" width="17.140625" style="370" bestFit="1" customWidth="1"/>
    <col min="1556" max="1556" width="13.140625" style="370" bestFit="1" customWidth="1"/>
    <col min="1557" max="1557" width="14.7109375" style="370" bestFit="1" customWidth="1"/>
    <col min="1558" max="1558" width="26" style="370" bestFit="1" customWidth="1"/>
    <col min="1559" max="1559" width="18.140625" style="370" bestFit="1" customWidth="1"/>
    <col min="1560" max="1560" width="8.7109375" style="370" customWidth="1"/>
    <col min="1561" max="1561" width="10.140625" style="370" customWidth="1"/>
    <col min="1562" max="1562" width="18.7109375" style="370" customWidth="1"/>
    <col min="1563" max="1563" width="8" style="370" customWidth="1"/>
    <col min="1564" max="1564" width="19.42578125" style="370" bestFit="1" customWidth="1"/>
    <col min="1565" max="1565" width="16.140625" style="370" bestFit="1" customWidth="1"/>
    <col min="1566" max="1566" width="20.7109375" style="370" bestFit="1" customWidth="1"/>
    <col min="1567" max="1567" width="9.5703125" style="370" customWidth="1"/>
    <col min="1568" max="1568" width="12" style="370" bestFit="1" customWidth="1"/>
    <col min="1569" max="1569" width="27.140625" style="370" bestFit="1" customWidth="1"/>
    <col min="1570" max="1570" width="83.28515625" style="370" bestFit="1" customWidth="1"/>
    <col min="1571" max="1571" width="13" style="370" bestFit="1" customWidth="1"/>
    <col min="1572" max="1572" width="17.140625" style="370" bestFit="1" customWidth="1"/>
    <col min="1573" max="1573" width="18.5703125" style="370" bestFit="1" customWidth="1"/>
    <col min="1574" max="1574" width="20.7109375" style="370" bestFit="1" customWidth="1"/>
    <col min="1575" max="1575" width="20.5703125" style="370" bestFit="1" customWidth="1"/>
    <col min="1576" max="1576" width="22.140625" style="370" bestFit="1" customWidth="1"/>
    <col min="1577" max="1577" width="19.5703125" style="370" bestFit="1" customWidth="1"/>
    <col min="1578" max="1578" width="14.42578125" style="370" bestFit="1" customWidth="1"/>
    <col min="1579" max="1579" width="17" style="370" bestFit="1" customWidth="1"/>
    <col min="1580" max="1580" width="15.7109375" style="370" bestFit="1" customWidth="1"/>
    <col min="1581" max="1581" width="15.28515625" style="370" bestFit="1" customWidth="1"/>
    <col min="1582" max="1582" width="12.42578125" style="370" customWidth="1"/>
    <col min="1583" max="1583" width="13.42578125" style="370" bestFit="1" customWidth="1"/>
    <col min="1584" max="1784" width="9.140625" style="370"/>
    <col min="1785" max="1785" width="13" style="370" bestFit="1" customWidth="1"/>
    <col min="1786" max="1786" width="15.7109375" style="370" bestFit="1" customWidth="1"/>
    <col min="1787" max="1787" width="15.140625" style="370" bestFit="1" customWidth="1"/>
    <col min="1788" max="1788" width="7" style="370" customWidth="1"/>
    <col min="1789" max="1789" width="8.28515625" style="370" customWidth="1"/>
    <col min="1790" max="1790" width="7.28515625" style="370" customWidth="1"/>
    <col min="1791" max="1791" width="18.7109375" style="370" bestFit="1" customWidth="1"/>
    <col min="1792" max="1792" width="9.5703125" style="370" bestFit="1" customWidth="1"/>
    <col min="1793" max="1793" width="10.85546875" style="370" bestFit="1" customWidth="1"/>
    <col min="1794" max="1794" width="14.140625" style="370" bestFit="1" customWidth="1"/>
    <col min="1795" max="1795" width="20.5703125" style="370" bestFit="1" customWidth="1"/>
    <col min="1796" max="1804" width="11.140625" style="370" bestFit="1" customWidth="1"/>
    <col min="1805" max="1807" width="12.140625" style="370" bestFit="1" customWidth="1"/>
    <col min="1808" max="1808" width="10.85546875" style="370" bestFit="1" customWidth="1"/>
    <col min="1809" max="1809" width="11.42578125" style="370" bestFit="1" customWidth="1"/>
    <col min="1810" max="1810" width="12" style="370" bestFit="1" customWidth="1"/>
    <col min="1811" max="1811" width="17.140625" style="370" bestFit="1" customWidth="1"/>
    <col min="1812" max="1812" width="13.140625" style="370" bestFit="1" customWidth="1"/>
    <col min="1813" max="1813" width="14.7109375" style="370" bestFit="1" customWidth="1"/>
    <col min="1814" max="1814" width="26" style="370" bestFit="1" customWidth="1"/>
    <col min="1815" max="1815" width="18.140625" style="370" bestFit="1" customWidth="1"/>
    <col min="1816" max="1816" width="8.7109375" style="370" customWidth="1"/>
    <col min="1817" max="1817" width="10.140625" style="370" customWidth="1"/>
    <col min="1818" max="1818" width="18.7109375" style="370" customWidth="1"/>
    <col min="1819" max="1819" width="8" style="370" customWidth="1"/>
    <col min="1820" max="1820" width="19.42578125" style="370" bestFit="1" customWidth="1"/>
    <col min="1821" max="1821" width="16.140625" style="370" bestFit="1" customWidth="1"/>
    <col min="1822" max="1822" width="20.7109375" style="370" bestFit="1" customWidth="1"/>
    <col min="1823" max="1823" width="9.5703125" style="370" customWidth="1"/>
    <col min="1824" max="1824" width="12" style="370" bestFit="1" customWidth="1"/>
    <col min="1825" max="1825" width="27.140625" style="370" bestFit="1" customWidth="1"/>
    <col min="1826" max="1826" width="83.28515625" style="370" bestFit="1" customWidth="1"/>
    <col min="1827" max="1827" width="13" style="370" bestFit="1" customWidth="1"/>
    <col min="1828" max="1828" width="17.140625" style="370" bestFit="1" customWidth="1"/>
    <col min="1829" max="1829" width="18.5703125" style="370" bestFit="1" customWidth="1"/>
    <col min="1830" max="1830" width="20.7109375" style="370" bestFit="1" customWidth="1"/>
    <col min="1831" max="1831" width="20.5703125" style="370" bestFit="1" customWidth="1"/>
    <col min="1832" max="1832" width="22.140625" style="370" bestFit="1" customWidth="1"/>
    <col min="1833" max="1833" width="19.5703125" style="370" bestFit="1" customWidth="1"/>
    <col min="1834" max="1834" width="14.42578125" style="370" bestFit="1" customWidth="1"/>
    <col min="1835" max="1835" width="17" style="370" bestFit="1" customWidth="1"/>
    <col min="1836" max="1836" width="15.7109375" style="370" bestFit="1" customWidth="1"/>
    <col min="1837" max="1837" width="15.28515625" style="370" bestFit="1" customWidth="1"/>
    <col min="1838" max="1838" width="12.42578125" style="370" customWidth="1"/>
    <col min="1839" max="1839" width="13.42578125" style="370" bestFit="1" customWidth="1"/>
    <col min="1840" max="2040" width="9.140625" style="370"/>
    <col min="2041" max="2041" width="13" style="370" bestFit="1" customWidth="1"/>
    <col min="2042" max="2042" width="15.7109375" style="370" bestFit="1" customWidth="1"/>
    <col min="2043" max="2043" width="15.140625" style="370" bestFit="1" customWidth="1"/>
    <col min="2044" max="2044" width="7" style="370" customWidth="1"/>
    <col min="2045" max="2045" width="8.28515625" style="370" customWidth="1"/>
    <col min="2046" max="2046" width="7.28515625" style="370" customWidth="1"/>
    <col min="2047" max="2047" width="18.7109375" style="370" bestFit="1" customWidth="1"/>
    <col min="2048" max="2048" width="9.5703125" style="370" bestFit="1" customWidth="1"/>
    <col min="2049" max="2049" width="10.85546875" style="370" bestFit="1" customWidth="1"/>
    <col min="2050" max="2050" width="14.140625" style="370" bestFit="1" customWidth="1"/>
    <col min="2051" max="2051" width="20.5703125" style="370" bestFit="1" customWidth="1"/>
    <col min="2052" max="2060" width="11.140625" style="370" bestFit="1" customWidth="1"/>
    <col min="2061" max="2063" width="12.140625" style="370" bestFit="1" customWidth="1"/>
    <col min="2064" max="2064" width="10.85546875" style="370" bestFit="1" customWidth="1"/>
    <col min="2065" max="2065" width="11.42578125" style="370" bestFit="1" customWidth="1"/>
    <col min="2066" max="2066" width="12" style="370" bestFit="1" customWidth="1"/>
    <col min="2067" max="2067" width="17.140625" style="370" bestFit="1" customWidth="1"/>
    <col min="2068" max="2068" width="13.140625" style="370" bestFit="1" customWidth="1"/>
    <col min="2069" max="2069" width="14.7109375" style="370" bestFit="1" customWidth="1"/>
    <col min="2070" max="2070" width="26" style="370" bestFit="1" customWidth="1"/>
    <col min="2071" max="2071" width="18.140625" style="370" bestFit="1" customWidth="1"/>
    <col min="2072" max="2072" width="8.7109375" style="370" customWidth="1"/>
    <col min="2073" max="2073" width="10.140625" style="370" customWidth="1"/>
    <col min="2074" max="2074" width="18.7109375" style="370" customWidth="1"/>
    <col min="2075" max="2075" width="8" style="370" customWidth="1"/>
    <col min="2076" max="2076" width="19.42578125" style="370" bestFit="1" customWidth="1"/>
    <col min="2077" max="2077" width="16.140625" style="370" bestFit="1" customWidth="1"/>
    <col min="2078" max="2078" width="20.7109375" style="370" bestFit="1" customWidth="1"/>
    <col min="2079" max="2079" width="9.5703125" style="370" customWidth="1"/>
    <col min="2080" max="2080" width="12" style="370" bestFit="1" customWidth="1"/>
    <col min="2081" max="2081" width="27.140625" style="370" bestFit="1" customWidth="1"/>
    <col min="2082" max="2082" width="83.28515625" style="370" bestFit="1" customWidth="1"/>
    <col min="2083" max="2083" width="13" style="370" bestFit="1" customWidth="1"/>
    <col min="2084" max="2084" width="17.140625" style="370" bestFit="1" customWidth="1"/>
    <col min="2085" max="2085" width="18.5703125" style="370" bestFit="1" customWidth="1"/>
    <col min="2086" max="2086" width="20.7109375" style="370" bestFit="1" customWidth="1"/>
    <col min="2087" max="2087" width="20.5703125" style="370" bestFit="1" customWidth="1"/>
    <col min="2088" max="2088" width="22.140625" style="370" bestFit="1" customWidth="1"/>
    <col min="2089" max="2089" width="19.5703125" style="370" bestFit="1" customWidth="1"/>
    <col min="2090" max="2090" width="14.42578125" style="370" bestFit="1" customWidth="1"/>
    <col min="2091" max="2091" width="17" style="370" bestFit="1" customWidth="1"/>
    <col min="2092" max="2092" width="15.7109375" style="370" bestFit="1" customWidth="1"/>
    <col min="2093" max="2093" width="15.28515625" style="370" bestFit="1" customWidth="1"/>
    <col min="2094" max="2094" width="12.42578125" style="370" customWidth="1"/>
    <col min="2095" max="2095" width="13.42578125" style="370" bestFit="1" customWidth="1"/>
    <col min="2096" max="2296" width="9.140625" style="370"/>
    <col min="2297" max="2297" width="13" style="370" bestFit="1" customWidth="1"/>
    <col min="2298" max="2298" width="15.7109375" style="370" bestFit="1" customWidth="1"/>
    <col min="2299" max="2299" width="15.140625" style="370" bestFit="1" customWidth="1"/>
    <col min="2300" max="2300" width="7" style="370" customWidth="1"/>
    <col min="2301" max="2301" width="8.28515625" style="370" customWidth="1"/>
    <col min="2302" max="2302" width="7.28515625" style="370" customWidth="1"/>
    <col min="2303" max="2303" width="18.7109375" style="370" bestFit="1" customWidth="1"/>
    <col min="2304" max="2304" width="9.5703125" style="370" bestFit="1" customWidth="1"/>
    <col min="2305" max="2305" width="10.85546875" style="370" bestFit="1" customWidth="1"/>
    <col min="2306" max="2306" width="14.140625" style="370" bestFit="1" customWidth="1"/>
    <col min="2307" max="2307" width="20.5703125" style="370" bestFit="1" customWidth="1"/>
    <col min="2308" max="2316" width="11.140625" style="370" bestFit="1" customWidth="1"/>
    <col min="2317" max="2319" width="12.140625" style="370" bestFit="1" customWidth="1"/>
    <col min="2320" max="2320" width="10.85546875" style="370" bestFit="1" customWidth="1"/>
    <col min="2321" max="2321" width="11.42578125" style="370" bestFit="1" customWidth="1"/>
    <col min="2322" max="2322" width="12" style="370" bestFit="1" customWidth="1"/>
    <col min="2323" max="2323" width="17.140625" style="370" bestFit="1" customWidth="1"/>
    <col min="2324" max="2324" width="13.140625" style="370" bestFit="1" customWidth="1"/>
    <col min="2325" max="2325" width="14.7109375" style="370" bestFit="1" customWidth="1"/>
    <col min="2326" max="2326" width="26" style="370" bestFit="1" customWidth="1"/>
    <col min="2327" max="2327" width="18.140625" style="370" bestFit="1" customWidth="1"/>
    <col min="2328" max="2328" width="8.7109375" style="370" customWidth="1"/>
    <col min="2329" max="2329" width="10.140625" style="370" customWidth="1"/>
    <col min="2330" max="2330" width="18.7109375" style="370" customWidth="1"/>
    <col min="2331" max="2331" width="8" style="370" customWidth="1"/>
    <col min="2332" max="2332" width="19.42578125" style="370" bestFit="1" customWidth="1"/>
    <col min="2333" max="2333" width="16.140625" style="370" bestFit="1" customWidth="1"/>
    <col min="2334" max="2334" width="20.7109375" style="370" bestFit="1" customWidth="1"/>
    <col min="2335" max="2335" width="9.5703125" style="370" customWidth="1"/>
    <col min="2336" max="2336" width="12" style="370" bestFit="1" customWidth="1"/>
    <col min="2337" max="2337" width="27.140625" style="370" bestFit="1" customWidth="1"/>
    <col min="2338" max="2338" width="83.28515625" style="370" bestFit="1" customWidth="1"/>
    <col min="2339" max="2339" width="13" style="370" bestFit="1" customWidth="1"/>
    <col min="2340" max="2340" width="17.140625" style="370" bestFit="1" customWidth="1"/>
    <col min="2341" max="2341" width="18.5703125" style="370" bestFit="1" customWidth="1"/>
    <col min="2342" max="2342" width="20.7109375" style="370" bestFit="1" customWidth="1"/>
    <col min="2343" max="2343" width="20.5703125" style="370" bestFit="1" customWidth="1"/>
    <col min="2344" max="2344" width="22.140625" style="370" bestFit="1" customWidth="1"/>
    <col min="2345" max="2345" width="19.5703125" style="370" bestFit="1" customWidth="1"/>
    <col min="2346" max="2346" width="14.42578125" style="370" bestFit="1" customWidth="1"/>
    <col min="2347" max="2347" width="17" style="370" bestFit="1" customWidth="1"/>
    <col min="2348" max="2348" width="15.7109375" style="370" bestFit="1" customWidth="1"/>
    <col min="2349" max="2349" width="15.28515625" style="370" bestFit="1" customWidth="1"/>
    <col min="2350" max="2350" width="12.42578125" style="370" customWidth="1"/>
    <col min="2351" max="2351" width="13.42578125" style="370" bestFit="1" customWidth="1"/>
    <col min="2352" max="2552" width="9.140625" style="370"/>
    <col min="2553" max="2553" width="13" style="370" bestFit="1" customWidth="1"/>
    <col min="2554" max="2554" width="15.7109375" style="370" bestFit="1" customWidth="1"/>
    <col min="2555" max="2555" width="15.140625" style="370" bestFit="1" customWidth="1"/>
    <col min="2556" max="2556" width="7" style="370" customWidth="1"/>
    <col min="2557" max="2557" width="8.28515625" style="370" customWidth="1"/>
    <col min="2558" max="2558" width="7.28515625" style="370" customWidth="1"/>
    <col min="2559" max="2559" width="18.7109375" style="370" bestFit="1" customWidth="1"/>
    <col min="2560" max="2560" width="9.5703125" style="370" bestFit="1" customWidth="1"/>
    <col min="2561" max="2561" width="10.85546875" style="370" bestFit="1" customWidth="1"/>
    <col min="2562" max="2562" width="14.140625" style="370" bestFit="1" customWidth="1"/>
    <col min="2563" max="2563" width="20.5703125" style="370" bestFit="1" customWidth="1"/>
    <col min="2564" max="2572" width="11.140625" style="370" bestFit="1" customWidth="1"/>
    <col min="2573" max="2575" width="12.140625" style="370" bestFit="1" customWidth="1"/>
    <col min="2576" max="2576" width="10.85546875" style="370" bestFit="1" customWidth="1"/>
    <col min="2577" max="2577" width="11.42578125" style="370" bestFit="1" customWidth="1"/>
    <col min="2578" max="2578" width="12" style="370" bestFit="1" customWidth="1"/>
    <col min="2579" max="2579" width="17.140625" style="370" bestFit="1" customWidth="1"/>
    <col min="2580" max="2580" width="13.140625" style="370" bestFit="1" customWidth="1"/>
    <col min="2581" max="2581" width="14.7109375" style="370" bestFit="1" customWidth="1"/>
    <col min="2582" max="2582" width="26" style="370" bestFit="1" customWidth="1"/>
    <col min="2583" max="2583" width="18.140625" style="370" bestFit="1" customWidth="1"/>
    <col min="2584" max="2584" width="8.7109375" style="370" customWidth="1"/>
    <col min="2585" max="2585" width="10.140625" style="370" customWidth="1"/>
    <col min="2586" max="2586" width="18.7109375" style="370" customWidth="1"/>
    <col min="2587" max="2587" width="8" style="370" customWidth="1"/>
    <col min="2588" max="2588" width="19.42578125" style="370" bestFit="1" customWidth="1"/>
    <col min="2589" max="2589" width="16.140625" style="370" bestFit="1" customWidth="1"/>
    <col min="2590" max="2590" width="20.7109375" style="370" bestFit="1" customWidth="1"/>
    <col min="2591" max="2591" width="9.5703125" style="370" customWidth="1"/>
    <col min="2592" max="2592" width="12" style="370" bestFit="1" customWidth="1"/>
    <col min="2593" max="2593" width="27.140625" style="370" bestFit="1" customWidth="1"/>
    <col min="2594" max="2594" width="83.28515625" style="370" bestFit="1" customWidth="1"/>
    <col min="2595" max="2595" width="13" style="370" bestFit="1" customWidth="1"/>
    <col min="2596" max="2596" width="17.140625" style="370" bestFit="1" customWidth="1"/>
    <col min="2597" max="2597" width="18.5703125" style="370" bestFit="1" customWidth="1"/>
    <col min="2598" max="2598" width="20.7109375" style="370" bestFit="1" customWidth="1"/>
    <col min="2599" max="2599" width="20.5703125" style="370" bestFit="1" customWidth="1"/>
    <col min="2600" max="2600" width="22.140625" style="370" bestFit="1" customWidth="1"/>
    <col min="2601" max="2601" width="19.5703125" style="370" bestFit="1" customWidth="1"/>
    <col min="2602" max="2602" width="14.42578125" style="370" bestFit="1" customWidth="1"/>
    <col min="2603" max="2603" width="17" style="370" bestFit="1" customWidth="1"/>
    <col min="2604" max="2604" width="15.7109375" style="370" bestFit="1" customWidth="1"/>
    <col min="2605" max="2605" width="15.28515625" style="370" bestFit="1" customWidth="1"/>
    <col min="2606" max="2606" width="12.42578125" style="370" customWidth="1"/>
    <col min="2607" max="2607" width="13.42578125" style="370" bestFit="1" customWidth="1"/>
    <col min="2608" max="2808" width="9.140625" style="370"/>
    <col min="2809" max="2809" width="13" style="370" bestFit="1" customWidth="1"/>
    <col min="2810" max="2810" width="15.7109375" style="370" bestFit="1" customWidth="1"/>
    <col min="2811" max="2811" width="15.140625" style="370" bestFit="1" customWidth="1"/>
    <col min="2812" max="2812" width="7" style="370" customWidth="1"/>
    <col min="2813" max="2813" width="8.28515625" style="370" customWidth="1"/>
    <col min="2814" max="2814" width="7.28515625" style="370" customWidth="1"/>
    <col min="2815" max="2815" width="18.7109375" style="370" bestFit="1" customWidth="1"/>
    <col min="2816" max="2816" width="9.5703125" style="370" bestFit="1" customWidth="1"/>
    <col min="2817" max="2817" width="10.85546875" style="370" bestFit="1" customWidth="1"/>
    <col min="2818" max="2818" width="14.140625" style="370" bestFit="1" customWidth="1"/>
    <col min="2819" max="2819" width="20.5703125" style="370" bestFit="1" customWidth="1"/>
    <col min="2820" max="2828" width="11.140625" style="370" bestFit="1" customWidth="1"/>
    <col min="2829" max="2831" width="12.140625" style="370" bestFit="1" customWidth="1"/>
    <col min="2832" max="2832" width="10.85546875" style="370" bestFit="1" customWidth="1"/>
    <col min="2833" max="2833" width="11.42578125" style="370" bestFit="1" customWidth="1"/>
    <col min="2834" max="2834" width="12" style="370" bestFit="1" customWidth="1"/>
    <col min="2835" max="2835" width="17.140625" style="370" bestFit="1" customWidth="1"/>
    <col min="2836" max="2836" width="13.140625" style="370" bestFit="1" customWidth="1"/>
    <col min="2837" max="2837" width="14.7109375" style="370" bestFit="1" customWidth="1"/>
    <col min="2838" max="2838" width="26" style="370" bestFit="1" customWidth="1"/>
    <col min="2839" max="2839" width="18.140625" style="370" bestFit="1" customWidth="1"/>
    <col min="2840" max="2840" width="8.7109375" style="370" customWidth="1"/>
    <col min="2841" max="2841" width="10.140625" style="370" customWidth="1"/>
    <col min="2842" max="2842" width="18.7109375" style="370" customWidth="1"/>
    <col min="2843" max="2843" width="8" style="370" customWidth="1"/>
    <col min="2844" max="2844" width="19.42578125" style="370" bestFit="1" customWidth="1"/>
    <col min="2845" max="2845" width="16.140625" style="370" bestFit="1" customWidth="1"/>
    <col min="2846" max="2846" width="20.7109375" style="370" bestFit="1" customWidth="1"/>
    <col min="2847" max="2847" width="9.5703125" style="370" customWidth="1"/>
    <col min="2848" max="2848" width="12" style="370" bestFit="1" customWidth="1"/>
    <col min="2849" max="2849" width="27.140625" style="370" bestFit="1" customWidth="1"/>
    <col min="2850" max="2850" width="83.28515625" style="370" bestFit="1" customWidth="1"/>
    <col min="2851" max="2851" width="13" style="370" bestFit="1" customWidth="1"/>
    <col min="2852" max="2852" width="17.140625" style="370" bestFit="1" customWidth="1"/>
    <col min="2853" max="2853" width="18.5703125" style="370" bestFit="1" customWidth="1"/>
    <col min="2854" max="2854" width="20.7109375" style="370" bestFit="1" customWidth="1"/>
    <col min="2855" max="2855" width="20.5703125" style="370" bestFit="1" customWidth="1"/>
    <col min="2856" max="2856" width="22.140625" style="370" bestFit="1" customWidth="1"/>
    <col min="2857" max="2857" width="19.5703125" style="370" bestFit="1" customWidth="1"/>
    <col min="2858" max="2858" width="14.42578125" style="370" bestFit="1" customWidth="1"/>
    <col min="2859" max="2859" width="17" style="370" bestFit="1" customWidth="1"/>
    <col min="2860" max="2860" width="15.7109375" style="370" bestFit="1" customWidth="1"/>
    <col min="2861" max="2861" width="15.28515625" style="370" bestFit="1" customWidth="1"/>
    <col min="2862" max="2862" width="12.42578125" style="370" customWidth="1"/>
    <col min="2863" max="2863" width="13.42578125" style="370" bestFit="1" customWidth="1"/>
    <col min="2864" max="3064" width="9.140625" style="370"/>
    <col min="3065" max="3065" width="13" style="370" bestFit="1" customWidth="1"/>
    <col min="3066" max="3066" width="15.7109375" style="370" bestFit="1" customWidth="1"/>
    <col min="3067" max="3067" width="15.140625" style="370" bestFit="1" customWidth="1"/>
    <col min="3068" max="3068" width="7" style="370" customWidth="1"/>
    <col min="3069" max="3069" width="8.28515625" style="370" customWidth="1"/>
    <col min="3070" max="3070" width="7.28515625" style="370" customWidth="1"/>
    <col min="3071" max="3071" width="18.7109375" style="370" bestFit="1" customWidth="1"/>
    <col min="3072" max="3072" width="9.5703125" style="370" bestFit="1" customWidth="1"/>
    <col min="3073" max="3073" width="10.85546875" style="370" bestFit="1" customWidth="1"/>
    <col min="3074" max="3074" width="14.140625" style="370" bestFit="1" customWidth="1"/>
    <col min="3075" max="3075" width="20.5703125" style="370" bestFit="1" customWidth="1"/>
    <col min="3076" max="3084" width="11.140625" style="370" bestFit="1" customWidth="1"/>
    <col min="3085" max="3087" width="12.140625" style="370" bestFit="1" customWidth="1"/>
    <col min="3088" max="3088" width="10.85546875" style="370" bestFit="1" customWidth="1"/>
    <col min="3089" max="3089" width="11.42578125" style="370" bestFit="1" customWidth="1"/>
    <col min="3090" max="3090" width="12" style="370" bestFit="1" customWidth="1"/>
    <col min="3091" max="3091" width="17.140625" style="370" bestFit="1" customWidth="1"/>
    <col min="3092" max="3092" width="13.140625" style="370" bestFit="1" customWidth="1"/>
    <col min="3093" max="3093" width="14.7109375" style="370" bestFit="1" customWidth="1"/>
    <col min="3094" max="3094" width="26" style="370" bestFit="1" customWidth="1"/>
    <col min="3095" max="3095" width="18.140625" style="370" bestFit="1" customWidth="1"/>
    <col min="3096" max="3096" width="8.7109375" style="370" customWidth="1"/>
    <col min="3097" max="3097" width="10.140625" style="370" customWidth="1"/>
    <col min="3098" max="3098" width="18.7109375" style="370" customWidth="1"/>
    <col min="3099" max="3099" width="8" style="370" customWidth="1"/>
    <col min="3100" max="3100" width="19.42578125" style="370" bestFit="1" customWidth="1"/>
    <col min="3101" max="3101" width="16.140625" style="370" bestFit="1" customWidth="1"/>
    <col min="3102" max="3102" width="20.7109375" style="370" bestFit="1" customWidth="1"/>
    <col min="3103" max="3103" width="9.5703125" style="370" customWidth="1"/>
    <col min="3104" max="3104" width="12" style="370" bestFit="1" customWidth="1"/>
    <col min="3105" max="3105" width="27.140625" style="370" bestFit="1" customWidth="1"/>
    <col min="3106" max="3106" width="83.28515625" style="370" bestFit="1" customWidth="1"/>
    <col min="3107" max="3107" width="13" style="370" bestFit="1" customWidth="1"/>
    <col min="3108" max="3108" width="17.140625" style="370" bestFit="1" customWidth="1"/>
    <col min="3109" max="3109" width="18.5703125" style="370" bestFit="1" customWidth="1"/>
    <col min="3110" max="3110" width="20.7109375" style="370" bestFit="1" customWidth="1"/>
    <col min="3111" max="3111" width="20.5703125" style="370" bestFit="1" customWidth="1"/>
    <col min="3112" max="3112" width="22.140625" style="370" bestFit="1" customWidth="1"/>
    <col min="3113" max="3113" width="19.5703125" style="370" bestFit="1" customWidth="1"/>
    <col min="3114" max="3114" width="14.42578125" style="370" bestFit="1" customWidth="1"/>
    <col min="3115" max="3115" width="17" style="370" bestFit="1" customWidth="1"/>
    <col min="3116" max="3116" width="15.7109375" style="370" bestFit="1" customWidth="1"/>
    <col min="3117" max="3117" width="15.28515625" style="370" bestFit="1" customWidth="1"/>
    <col min="3118" max="3118" width="12.42578125" style="370" customWidth="1"/>
    <col min="3119" max="3119" width="13.42578125" style="370" bestFit="1" customWidth="1"/>
    <col min="3120" max="3320" width="9.140625" style="370"/>
    <col min="3321" max="3321" width="13" style="370" bestFit="1" customWidth="1"/>
    <col min="3322" max="3322" width="15.7109375" style="370" bestFit="1" customWidth="1"/>
    <col min="3323" max="3323" width="15.140625" style="370" bestFit="1" customWidth="1"/>
    <col min="3324" max="3324" width="7" style="370" customWidth="1"/>
    <col min="3325" max="3325" width="8.28515625" style="370" customWidth="1"/>
    <col min="3326" max="3326" width="7.28515625" style="370" customWidth="1"/>
    <col min="3327" max="3327" width="18.7109375" style="370" bestFit="1" customWidth="1"/>
    <col min="3328" max="3328" width="9.5703125" style="370" bestFit="1" customWidth="1"/>
    <col min="3329" max="3329" width="10.85546875" style="370" bestFit="1" customWidth="1"/>
    <col min="3330" max="3330" width="14.140625" style="370" bestFit="1" customWidth="1"/>
    <col min="3331" max="3331" width="20.5703125" style="370" bestFit="1" customWidth="1"/>
    <col min="3332" max="3340" width="11.140625" style="370" bestFit="1" customWidth="1"/>
    <col min="3341" max="3343" width="12.140625" style="370" bestFit="1" customWidth="1"/>
    <col min="3344" max="3344" width="10.85546875" style="370" bestFit="1" customWidth="1"/>
    <col min="3345" max="3345" width="11.42578125" style="370" bestFit="1" customWidth="1"/>
    <col min="3346" max="3346" width="12" style="370" bestFit="1" customWidth="1"/>
    <col min="3347" max="3347" width="17.140625" style="370" bestFit="1" customWidth="1"/>
    <col min="3348" max="3348" width="13.140625" style="370" bestFit="1" customWidth="1"/>
    <col min="3349" max="3349" width="14.7109375" style="370" bestFit="1" customWidth="1"/>
    <col min="3350" max="3350" width="26" style="370" bestFit="1" customWidth="1"/>
    <col min="3351" max="3351" width="18.140625" style="370" bestFit="1" customWidth="1"/>
    <col min="3352" max="3352" width="8.7109375" style="370" customWidth="1"/>
    <col min="3353" max="3353" width="10.140625" style="370" customWidth="1"/>
    <col min="3354" max="3354" width="18.7109375" style="370" customWidth="1"/>
    <col min="3355" max="3355" width="8" style="370" customWidth="1"/>
    <col min="3356" max="3356" width="19.42578125" style="370" bestFit="1" customWidth="1"/>
    <col min="3357" max="3357" width="16.140625" style="370" bestFit="1" customWidth="1"/>
    <col min="3358" max="3358" width="20.7109375" style="370" bestFit="1" customWidth="1"/>
    <col min="3359" max="3359" width="9.5703125" style="370" customWidth="1"/>
    <col min="3360" max="3360" width="12" style="370" bestFit="1" customWidth="1"/>
    <col min="3361" max="3361" width="27.140625" style="370" bestFit="1" customWidth="1"/>
    <col min="3362" max="3362" width="83.28515625" style="370" bestFit="1" customWidth="1"/>
    <col min="3363" max="3363" width="13" style="370" bestFit="1" customWidth="1"/>
    <col min="3364" max="3364" width="17.140625" style="370" bestFit="1" customWidth="1"/>
    <col min="3365" max="3365" width="18.5703125" style="370" bestFit="1" customWidth="1"/>
    <col min="3366" max="3366" width="20.7109375" style="370" bestFit="1" customWidth="1"/>
    <col min="3367" max="3367" width="20.5703125" style="370" bestFit="1" customWidth="1"/>
    <col min="3368" max="3368" width="22.140625" style="370" bestFit="1" customWidth="1"/>
    <col min="3369" max="3369" width="19.5703125" style="370" bestFit="1" customWidth="1"/>
    <col min="3370" max="3370" width="14.42578125" style="370" bestFit="1" customWidth="1"/>
    <col min="3371" max="3371" width="17" style="370" bestFit="1" customWidth="1"/>
    <col min="3372" max="3372" width="15.7109375" style="370" bestFit="1" customWidth="1"/>
    <col min="3373" max="3373" width="15.28515625" style="370" bestFit="1" customWidth="1"/>
    <col min="3374" max="3374" width="12.42578125" style="370" customWidth="1"/>
    <col min="3375" max="3375" width="13.42578125" style="370" bestFit="1" customWidth="1"/>
    <col min="3376" max="3576" width="9.140625" style="370"/>
    <col min="3577" max="3577" width="13" style="370" bestFit="1" customWidth="1"/>
    <col min="3578" max="3578" width="15.7109375" style="370" bestFit="1" customWidth="1"/>
    <col min="3579" max="3579" width="15.140625" style="370" bestFit="1" customWidth="1"/>
    <col min="3580" max="3580" width="7" style="370" customWidth="1"/>
    <col min="3581" max="3581" width="8.28515625" style="370" customWidth="1"/>
    <col min="3582" max="3582" width="7.28515625" style="370" customWidth="1"/>
    <col min="3583" max="3583" width="18.7109375" style="370" bestFit="1" customWidth="1"/>
    <col min="3584" max="3584" width="9.5703125" style="370" bestFit="1" customWidth="1"/>
    <col min="3585" max="3585" width="10.85546875" style="370" bestFit="1" customWidth="1"/>
    <col min="3586" max="3586" width="14.140625" style="370" bestFit="1" customWidth="1"/>
    <col min="3587" max="3587" width="20.5703125" style="370" bestFit="1" customWidth="1"/>
    <col min="3588" max="3596" width="11.140625" style="370" bestFit="1" customWidth="1"/>
    <col min="3597" max="3599" width="12.140625" style="370" bestFit="1" customWidth="1"/>
    <col min="3600" max="3600" width="10.85546875" style="370" bestFit="1" customWidth="1"/>
    <col min="3601" max="3601" width="11.42578125" style="370" bestFit="1" customWidth="1"/>
    <col min="3602" max="3602" width="12" style="370" bestFit="1" customWidth="1"/>
    <col min="3603" max="3603" width="17.140625" style="370" bestFit="1" customWidth="1"/>
    <col min="3604" max="3604" width="13.140625" style="370" bestFit="1" customWidth="1"/>
    <col min="3605" max="3605" width="14.7109375" style="370" bestFit="1" customWidth="1"/>
    <col min="3606" max="3606" width="26" style="370" bestFit="1" customWidth="1"/>
    <col min="3607" max="3607" width="18.140625" style="370" bestFit="1" customWidth="1"/>
    <col min="3608" max="3608" width="8.7109375" style="370" customWidth="1"/>
    <col min="3609" max="3609" width="10.140625" style="370" customWidth="1"/>
    <col min="3610" max="3610" width="18.7109375" style="370" customWidth="1"/>
    <col min="3611" max="3611" width="8" style="370" customWidth="1"/>
    <col min="3612" max="3612" width="19.42578125" style="370" bestFit="1" customWidth="1"/>
    <col min="3613" max="3613" width="16.140625" style="370" bestFit="1" customWidth="1"/>
    <col min="3614" max="3614" width="20.7109375" style="370" bestFit="1" customWidth="1"/>
    <col min="3615" max="3615" width="9.5703125" style="370" customWidth="1"/>
    <col min="3616" max="3616" width="12" style="370" bestFit="1" customWidth="1"/>
    <col min="3617" max="3617" width="27.140625" style="370" bestFit="1" customWidth="1"/>
    <col min="3618" max="3618" width="83.28515625" style="370" bestFit="1" customWidth="1"/>
    <col min="3619" max="3619" width="13" style="370" bestFit="1" customWidth="1"/>
    <col min="3620" max="3620" width="17.140625" style="370" bestFit="1" customWidth="1"/>
    <col min="3621" max="3621" width="18.5703125" style="370" bestFit="1" customWidth="1"/>
    <col min="3622" max="3622" width="20.7109375" style="370" bestFit="1" customWidth="1"/>
    <col min="3623" max="3623" width="20.5703125" style="370" bestFit="1" customWidth="1"/>
    <col min="3624" max="3624" width="22.140625" style="370" bestFit="1" customWidth="1"/>
    <col min="3625" max="3625" width="19.5703125" style="370" bestFit="1" customWidth="1"/>
    <col min="3626" max="3626" width="14.42578125" style="370" bestFit="1" customWidth="1"/>
    <col min="3627" max="3627" width="17" style="370" bestFit="1" customWidth="1"/>
    <col min="3628" max="3628" width="15.7109375" style="370" bestFit="1" customWidth="1"/>
    <col min="3629" max="3629" width="15.28515625" style="370" bestFit="1" customWidth="1"/>
    <col min="3630" max="3630" width="12.42578125" style="370" customWidth="1"/>
    <col min="3631" max="3631" width="13.42578125" style="370" bestFit="1" customWidth="1"/>
    <col min="3632" max="3832" width="9.140625" style="370"/>
    <col min="3833" max="3833" width="13" style="370" bestFit="1" customWidth="1"/>
    <col min="3834" max="3834" width="15.7109375" style="370" bestFit="1" customWidth="1"/>
    <col min="3835" max="3835" width="15.140625" style="370" bestFit="1" customWidth="1"/>
    <col min="3836" max="3836" width="7" style="370" customWidth="1"/>
    <col min="3837" max="3837" width="8.28515625" style="370" customWidth="1"/>
    <col min="3838" max="3838" width="7.28515625" style="370" customWidth="1"/>
    <col min="3839" max="3839" width="18.7109375" style="370" bestFit="1" customWidth="1"/>
    <col min="3840" max="3840" width="9.5703125" style="370" bestFit="1" customWidth="1"/>
    <col min="3841" max="3841" width="10.85546875" style="370" bestFit="1" customWidth="1"/>
    <col min="3842" max="3842" width="14.140625" style="370" bestFit="1" customWidth="1"/>
    <col min="3843" max="3843" width="20.5703125" style="370" bestFit="1" customWidth="1"/>
    <col min="3844" max="3852" width="11.140625" style="370" bestFit="1" customWidth="1"/>
    <col min="3853" max="3855" width="12.140625" style="370" bestFit="1" customWidth="1"/>
    <col min="3856" max="3856" width="10.85546875" style="370" bestFit="1" customWidth="1"/>
    <col min="3857" max="3857" width="11.42578125" style="370" bestFit="1" customWidth="1"/>
    <col min="3858" max="3858" width="12" style="370" bestFit="1" customWidth="1"/>
    <col min="3859" max="3859" width="17.140625" style="370" bestFit="1" customWidth="1"/>
    <col min="3860" max="3860" width="13.140625" style="370" bestFit="1" customWidth="1"/>
    <col min="3861" max="3861" width="14.7109375" style="370" bestFit="1" customWidth="1"/>
    <col min="3862" max="3862" width="26" style="370" bestFit="1" customWidth="1"/>
    <col min="3863" max="3863" width="18.140625" style="370" bestFit="1" customWidth="1"/>
    <col min="3864" max="3864" width="8.7109375" style="370" customWidth="1"/>
    <col min="3865" max="3865" width="10.140625" style="370" customWidth="1"/>
    <col min="3866" max="3866" width="18.7109375" style="370" customWidth="1"/>
    <col min="3867" max="3867" width="8" style="370" customWidth="1"/>
    <col min="3868" max="3868" width="19.42578125" style="370" bestFit="1" customWidth="1"/>
    <col min="3869" max="3869" width="16.140625" style="370" bestFit="1" customWidth="1"/>
    <col min="3870" max="3870" width="20.7109375" style="370" bestFit="1" customWidth="1"/>
    <col min="3871" max="3871" width="9.5703125" style="370" customWidth="1"/>
    <col min="3872" max="3872" width="12" style="370" bestFit="1" customWidth="1"/>
    <col min="3873" max="3873" width="27.140625" style="370" bestFit="1" customWidth="1"/>
    <col min="3874" max="3874" width="83.28515625" style="370" bestFit="1" customWidth="1"/>
    <col min="3875" max="3875" width="13" style="370" bestFit="1" customWidth="1"/>
    <col min="3876" max="3876" width="17.140625" style="370" bestFit="1" customWidth="1"/>
    <col min="3877" max="3877" width="18.5703125" style="370" bestFit="1" customWidth="1"/>
    <col min="3878" max="3878" width="20.7109375" style="370" bestFit="1" customWidth="1"/>
    <col min="3879" max="3879" width="20.5703125" style="370" bestFit="1" customWidth="1"/>
    <col min="3880" max="3880" width="22.140625" style="370" bestFit="1" customWidth="1"/>
    <col min="3881" max="3881" width="19.5703125" style="370" bestFit="1" customWidth="1"/>
    <col min="3882" max="3882" width="14.42578125" style="370" bestFit="1" customWidth="1"/>
    <col min="3883" max="3883" width="17" style="370" bestFit="1" customWidth="1"/>
    <col min="3884" max="3884" width="15.7109375" style="370" bestFit="1" customWidth="1"/>
    <col min="3885" max="3885" width="15.28515625" style="370" bestFit="1" customWidth="1"/>
    <col min="3886" max="3886" width="12.42578125" style="370" customWidth="1"/>
    <col min="3887" max="3887" width="13.42578125" style="370" bestFit="1" customWidth="1"/>
    <col min="3888" max="4088" width="9.140625" style="370"/>
    <col min="4089" max="4089" width="13" style="370" bestFit="1" customWidth="1"/>
    <col min="4090" max="4090" width="15.7109375" style="370" bestFit="1" customWidth="1"/>
    <col min="4091" max="4091" width="15.140625" style="370" bestFit="1" customWidth="1"/>
    <col min="4092" max="4092" width="7" style="370" customWidth="1"/>
    <col min="4093" max="4093" width="8.28515625" style="370" customWidth="1"/>
    <col min="4094" max="4094" width="7.28515625" style="370" customWidth="1"/>
    <col min="4095" max="4095" width="18.7109375" style="370" bestFit="1" customWidth="1"/>
    <col min="4096" max="4096" width="9.5703125" style="370" bestFit="1" customWidth="1"/>
    <col min="4097" max="4097" width="10.85546875" style="370" bestFit="1" customWidth="1"/>
    <col min="4098" max="4098" width="14.140625" style="370" bestFit="1" customWidth="1"/>
    <col min="4099" max="4099" width="20.5703125" style="370" bestFit="1" customWidth="1"/>
    <col min="4100" max="4108" width="11.140625" style="370" bestFit="1" customWidth="1"/>
    <col min="4109" max="4111" width="12.140625" style="370" bestFit="1" customWidth="1"/>
    <col min="4112" max="4112" width="10.85546875" style="370" bestFit="1" customWidth="1"/>
    <col min="4113" max="4113" width="11.42578125" style="370" bestFit="1" customWidth="1"/>
    <col min="4114" max="4114" width="12" style="370" bestFit="1" customWidth="1"/>
    <col min="4115" max="4115" width="17.140625" style="370" bestFit="1" customWidth="1"/>
    <col min="4116" max="4116" width="13.140625" style="370" bestFit="1" customWidth="1"/>
    <col min="4117" max="4117" width="14.7109375" style="370" bestFit="1" customWidth="1"/>
    <col min="4118" max="4118" width="26" style="370" bestFit="1" customWidth="1"/>
    <col min="4119" max="4119" width="18.140625" style="370" bestFit="1" customWidth="1"/>
    <col min="4120" max="4120" width="8.7109375" style="370" customWidth="1"/>
    <col min="4121" max="4121" width="10.140625" style="370" customWidth="1"/>
    <col min="4122" max="4122" width="18.7109375" style="370" customWidth="1"/>
    <col min="4123" max="4123" width="8" style="370" customWidth="1"/>
    <col min="4124" max="4124" width="19.42578125" style="370" bestFit="1" customWidth="1"/>
    <col min="4125" max="4125" width="16.140625" style="370" bestFit="1" customWidth="1"/>
    <col min="4126" max="4126" width="20.7109375" style="370" bestFit="1" customWidth="1"/>
    <col min="4127" max="4127" width="9.5703125" style="370" customWidth="1"/>
    <col min="4128" max="4128" width="12" style="370" bestFit="1" customWidth="1"/>
    <col min="4129" max="4129" width="27.140625" style="370" bestFit="1" customWidth="1"/>
    <col min="4130" max="4130" width="83.28515625" style="370" bestFit="1" customWidth="1"/>
    <col min="4131" max="4131" width="13" style="370" bestFit="1" customWidth="1"/>
    <col min="4132" max="4132" width="17.140625" style="370" bestFit="1" customWidth="1"/>
    <col min="4133" max="4133" width="18.5703125" style="370" bestFit="1" customWidth="1"/>
    <col min="4134" max="4134" width="20.7109375" style="370" bestFit="1" customWidth="1"/>
    <col min="4135" max="4135" width="20.5703125" style="370" bestFit="1" customWidth="1"/>
    <col min="4136" max="4136" width="22.140625" style="370" bestFit="1" customWidth="1"/>
    <col min="4137" max="4137" width="19.5703125" style="370" bestFit="1" customWidth="1"/>
    <col min="4138" max="4138" width="14.42578125" style="370" bestFit="1" customWidth="1"/>
    <col min="4139" max="4139" width="17" style="370" bestFit="1" customWidth="1"/>
    <col min="4140" max="4140" width="15.7109375" style="370" bestFit="1" customWidth="1"/>
    <col min="4141" max="4141" width="15.28515625" style="370" bestFit="1" customWidth="1"/>
    <col min="4142" max="4142" width="12.42578125" style="370" customWidth="1"/>
    <col min="4143" max="4143" width="13.42578125" style="370" bestFit="1" customWidth="1"/>
    <col min="4144" max="4344" width="9.140625" style="370"/>
    <col min="4345" max="4345" width="13" style="370" bestFit="1" customWidth="1"/>
    <col min="4346" max="4346" width="15.7109375" style="370" bestFit="1" customWidth="1"/>
    <col min="4347" max="4347" width="15.140625" style="370" bestFit="1" customWidth="1"/>
    <col min="4348" max="4348" width="7" style="370" customWidth="1"/>
    <col min="4349" max="4349" width="8.28515625" style="370" customWidth="1"/>
    <col min="4350" max="4350" width="7.28515625" style="370" customWidth="1"/>
    <col min="4351" max="4351" width="18.7109375" style="370" bestFit="1" customWidth="1"/>
    <col min="4352" max="4352" width="9.5703125" style="370" bestFit="1" customWidth="1"/>
    <col min="4353" max="4353" width="10.85546875" style="370" bestFit="1" customWidth="1"/>
    <col min="4354" max="4354" width="14.140625" style="370" bestFit="1" customWidth="1"/>
    <col min="4355" max="4355" width="20.5703125" style="370" bestFit="1" customWidth="1"/>
    <col min="4356" max="4364" width="11.140625" style="370" bestFit="1" customWidth="1"/>
    <col min="4365" max="4367" width="12.140625" style="370" bestFit="1" customWidth="1"/>
    <col min="4368" max="4368" width="10.85546875" style="370" bestFit="1" customWidth="1"/>
    <col min="4369" max="4369" width="11.42578125" style="370" bestFit="1" customWidth="1"/>
    <col min="4370" max="4370" width="12" style="370" bestFit="1" customWidth="1"/>
    <col min="4371" max="4371" width="17.140625" style="370" bestFit="1" customWidth="1"/>
    <col min="4372" max="4372" width="13.140625" style="370" bestFit="1" customWidth="1"/>
    <col min="4373" max="4373" width="14.7109375" style="370" bestFit="1" customWidth="1"/>
    <col min="4374" max="4374" width="26" style="370" bestFit="1" customWidth="1"/>
    <col min="4375" max="4375" width="18.140625" style="370" bestFit="1" customWidth="1"/>
    <col min="4376" max="4376" width="8.7109375" style="370" customWidth="1"/>
    <col min="4377" max="4377" width="10.140625" style="370" customWidth="1"/>
    <col min="4378" max="4378" width="18.7109375" style="370" customWidth="1"/>
    <col min="4379" max="4379" width="8" style="370" customWidth="1"/>
    <col min="4380" max="4380" width="19.42578125" style="370" bestFit="1" customWidth="1"/>
    <col min="4381" max="4381" width="16.140625" style="370" bestFit="1" customWidth="1"/>
    <col min="4382" max="4382" width="20.7109375" style="370" bestFit="1" customWidth="1"/>
    <col min="4383" max="4383" width="9.5703125" style="370" customWidth="1"/>
    <col min="4384" max="4384" width="12" style="370" bestFit="1" customWidth="1"/>
    <col min="4385" max="4385" width="27.140625" style="370" bestFit="1" customWidth="1"/>
    <col min="4386" max="4386" width="83.28515625" style="370" bestFit="1" customWidth="1"/>
    <col min="4387" max="4387" width="13" style="370" bestFit="1" customWidth="1"/>
    <col min="4388" max="4388" width="17.140625" style="370" bestFit="1" customWidth="1"/>
    <col min="4389" max="4389" width="18.5703125" style="370" bestFit="1" customWidth="1"/>
    <col min="4390" max="4390" width="20.7109375" style="370" bestFit="1" customWidth="1"/>
    <col min="4391" max="4391" width="20.5703125" style="370" bestFit="1" customWidth="1"/>
    <col min="4392" max="4392" width="22.140625" style="370" bestFit="1" customWidth="1"/>
    <col min="4393" max="4393" width="19.5703125" style="370" bestFit="1" customWidth="1"/>
    <col min="4394" max="4394" width="14.42578125" style="370" bestFit="1" customWidth="1"/>
    <col min="4395" max="4395" width="17" style="370" bestFit="1" customWidth="1"/>
    <col min="4396" max="4396" width="15.7109375" style="370" bestFit="1" customWidth="1"/>
    <col min="4397" max="4397" width="15.28515625" style="370" bestFit="1" customWidth="1"/>
    <col min="4398" max="4398" width="12.42578125" style="370" customWidth="1"/>
    <col min="4399" max="4399" width="13.42578125" style="370" bestFit="1" customWidth="1"/>
    <col min="4400" max="4600" width="9.140625" style="370"/>
    <col min="4601" max="4601" width="13" style="370" bestFit="1" customWidth="1"/>
    <col min="4602" max="4602" width="15.7109375" style="370" bestFit="1" customWidth="1"/>
    <col min="4603" max="4603" width="15.140625" style="370" bestFit="1" customWidth="1"/>
    <col min="4604" max="4604" width="7" style="370" customWidth="1"/>
    <col min="4605" max="4605" width="8.28515625" style="370" customWidth="1"/>
    <col min="4606" max="4606" width="7.28515625" style="370" customWidth="1"/>
    <col min="4607" max="4607" width="18.7109375" style="370" bestFit="1" customWidth="1"/>
    <col min="4608" max="4608" width="9.5703125" style="370" bestFit="1" customWidth="1"/>
    <col min="4609" max="4609" width="10.85546875" style="370" bestFit="1" customWidth="1"/>
    <col min="4610" max="4610" width="14.140625" style="370" bestFit="1" customWidth="1"/>
    <col min="4611" max="4611" width="20.5703125" style="370" bestFit="1" customWidth="1"/>
    <col min="4612" max="4620" width="11.140625" style="370" bestFit="1" customWidth="1"/>
    <col min="4621" max="4623" width="12.140625" style="370" bestFit="1" customWidth="1"/>
    <col min="4624" max="4624" width="10.85546875" style="370" bestFit="1" customWidth="1"/>
    <col min="4625" max="4625" width="11.42578125" style="370" bestFit="1" customWidth="1"/>
    <col min="4626" max="4626" width="12" style="370" bestFit="1" customWidth="1"/>
    <col min="4627" max="4627" width="17.140625" style="370" bestFit="1" customWidth="1"/>
    <col min="4628" max="4628" width="13.140625" style="370" bestFit="1" customWidth="1"/>
    <col min="4629" max="4629" width="14.7109375" style="370" bestFit="1" customWidth="1"/>
    <col min="4630" max="4630" width="26" style="370" bestFit="1" customWidth="1"/>
    <col min="4631" max="4631" width="18.140625" style="370" bestFit="1" customWidth="1"/>
    <col min="4632" max="4632" width="8.7109375" style="370" customWidth="1"/>
    <col min="4633" max="4633" width="10.140625" style="370" customWidth="1"/>
    <col min="4634" max="4634" width="18.7109375" style="370" customWidth="1"/>
    <col min="4635" max="4635" width="8" style="370" customWidth="1"/>
    <col min="4636" max="4636" width="19.42578125" style="370" bestFit="1" customWidth="1"/>
    <col min="4637" max="4637" width="16.140625" style="370" bestFit="1" customWidth="1"/>
    <col min="4638" max="4638" width="20.7109375" style="370" bestFit="1" customWidth="1"/>
    <col min="4639" max="4639" width="9.5703125" style="370" customWidth="1"/>
    <col min="4640" max="4640" width="12" style="370" bestFit="1" customWidth="1"/>
    <col min="4641" max="4641" width="27.140625" style="370" bestFit="1" customWidth="1"/>
    <col min="4642" max="4642" width="83.28515625" style="370" bestFit="1" customWidth="1"/>
    <col min="4643" max="4643" width="13" style="370" bestFit="1" customWidth="1"/>
    <col min="4644" max="4644" width="17.140625" style="370" bestFit="1" customWidth="1"/>
    <col min="4645" max="4645" width="18.5703125" style="370" bestFit="1" customWidth="1"/>
    <col min="4646" max="4646" width="20.7109375" style="370" bestFit="1" customWidth="1"/>
    <col min="4647" max="4647" width="20.5703125" style="370" bestFit="1" customWidth="1"/>
    <col min="4648" max="4648" width="22.140625" style="370" bestFit="1" customWidth="1"/>
    <col min="4649" max="4649" width="19.5703125" style="370" bestFit="1" customWidth="1"/>
    <col min="4650" max="4650" width="14.42578125" style="370" bestFit="1" customWidth="1"/>
    <col min="4651" max="4651" width="17" style="370" bestFit="1" customWidth="1"/>
    <col min="4652" max="4652" width="15.7109375" style="370" bestFit="1" customWidth="1"/>
    <col min="4653" max="4653" width="15.28515625" style="370" bestFit="1" customWidth="1"/>
    <col min="4654" max="4654" width="12.42578125" style="370" customWidth="1"/>
    <col min="4655" max="4655" width="13.42578125" style="370" bestFit="1" customWidth="1"/>
    <col min="4656" max="4856" width="9.140625" style="370"/>
    <col min="4857" max="4857" width="13" style="370" bestFit="1" customWidth="1"/>
    <col min="4858" max="4858" width="15.7109375" style="370" bestFit="1" customWidth="1"/>
    <col min="4859" max="4859" width="15.140625" style="370" bestFit="1" customWidth="1"/>
    <col min="4860" max="4860" width="7" style="370" customWidth="1"/>
    <col min="4861" max="4861" width="8.28515625" style="370" customWidth="1"/>
    <col min="4862" max="4862" width="7.28515625" style="370" customWidth="1"/>
    <col min="4863" max="4863" width="18.7109375" style="370" bestFit="1" customWidth="1"/>
    <col min="4864" max="4864" width="9.5703125" style="370" bestFit="1" customWidth="1"/>
    <col min="4865" max="4865" width="10.85546875" style="370" bestFit="1" customWidth="1"/>
    <col min="4866" max="4866" width="14.140625" style="370" bestFit="1" customWidth="1"/>
    <col min="4867" max="4867" width="20.5703125" style="370" bestFit="1" customWidth="1"/>
    <col min="4868" max="4876" width="11.140625" style="370" bestFit="1" customWidth="1"/>
    <col min="4877" max="4879" width="12.140625" style="370" bestFit="1" customWidth="1"/>
    <col min="4880" max="4880" width="10.85546875" style="370" bestFit="1" customWidth="1"/>
    <col min="4881" max="4881" width="11.42578125" style="370" bestFit="1" customWidth="1"/>
    <col min="4882" max="4882" width="12" style="370" bestFit="1" customWidth="1"/>
    <col min="4883" max="4883" width="17.140625" style="370" bestFit="1" customWidth="1"/>
    <col min="4884" max="4884" width="13.140625" style="370" bestFit="1" customWidth="1"/>
    <col min="4885" max="4885" width="14.7109375" style="370" bestFit="1" customWidth="1"/>
    <col min="4886" max="4886" width="26" style="370" bestFit="1" customWidth="1"/>
    <col min="4887" max="4887" width="18.140625" style="370" bestFit="1" customWidth="1"/>
    <col min="4888" max="4888" width="8.7109375" style="370" customWidth="1"/>
    <col min="4889" max="4889" width="10.140625" style="370" customWidth="1"/>
    <col min="4890" max="4890" width="18.7109375" style="370" customWidth="1"/>
    <col min="4891" max="4891" width="8" style="370" customWidth="1"/>
    <col min="4892" max="4892" width="19.42578125" style="370" bestFit="1" customWidth="1"/>
    <col min="4893" max="4893" width="16.140625" style="370" bestFit="1" customWidth="1"/>
    <col min="4894" max="4894" width="20.7109375" style="370" bestFit="1" customWidth="1"/>
    <col min="4895" max="4895" width="9.5703125" style="370" customWidth="1"/>
    <col min="4896" max="4896" width="12" style="370" bestFit="1" customWidth="1"/>
    <col min="4897" max="4897" width="27.140625" style="370" bestFit="1" customWidth="1"/>
    <col min="4898" max="4898" width="83.28515625" style="370" bestFit="1" customWidth="1"/>
    <col min="4899" max="4899" width="13" style="370" bestFit="1" customWidth="1"/>
    <col min="4900" max="4900" width="17.140625" style="370" bestFit="1" customWidth="1"/>
    <col min="4901" max="4901" width="18.5703125" style="370" bestFit="1" customWidth="1"/>
    <col min="4902" max="4902" width="20.7109375" style="370" bestFit="1" customWidth="1"/>
    <col min="4903" max="4903" width="20.5703125" style="370" bestFit="1" customWidth="1"/>
    <col min="4904" max="4904" width="22.140625" style="370" bestFit="1" customWidth="1"/>
    <col min="4905" max="4905" width="19.5703125" style="370" bestFit="1" customWidth="1"/>
    <col min="4906" max="4906" width="14.42578125" style="370" bestFit="1" customWidth="1"/>
    <col min="4907" max="4907" width="17" style="370" bestFit="1" customWidth="1"/>
    <col min="4908" max="4908" width="15.7109375" style="370" bestFit="1" customWidth="1"/>
    <col min="4909" max="4909" width="15.28515625" style="370" bestFit="1" customWidth="1"/>
    <col min="4910" max="4910" width="12.42578125" style="370" customWidth="1"/>
    <col min="4911" max="4911" width="13.42578125" style="370" bestFit="1" customWidth="1"/>
    <col min="4912" max="5112" width="9.140625" style="370"/>
    <col min="5113" max="5113" width="13" style="370" bestFit="1" customWidth="1"/>
    <col min="5114" max="5114" width="15.7109375" style="370" bestFit="1" customWidth="1"/>
    <col min="5115" max="5115" width="15.140625" style="370" bestFit="1" customWidth="1"/>
    <col min="5116" max="5116" width="7" style="370" customWidth="1"/>
    <col min="5117" max="5117" width="8.28515625" style="370" customWidth="1"/>
    <col min="5118" max="5118" width="7.28515625" style="370" customWidth="1"/>
    <col min="5119" max="5119" width="18.7109375" style="370" bestFit="1" customWidth="1"/>
    <col min="5120" max="5120" width="9.5703125" style="370" bestFit="1" customWidth="1"/>
    <col min="5121" max="5121" width="10.85546875" style="370" bestFit="1" customWidth="1"/>
    <col min="5122" max="5122" width="14.140625" style="370" bestFit="1" customWidth="1"/>
    <col min="5123" max="5123" width="20.5703125" style="370" bestFit="1" customWidth="1"/>
    <col min="5124" max="5132" width="11.140625" style="370" bestFit="1" customWidth="1"/>
    <col min="5133" max="5135" width="12.140625" style="370" bestFit="1" customWidth="1"/>
    <col min="5136" max="5136" width="10.85546875" style="370" bestFit="1" customWidth="1"/>
    <col min="5137" max="5137" width="11.42578125" style="370" bestFit="1" customWidth="1"/>
    <col min="5138" max="5138" width="12" style="370" bestFit="1" customWidth="1"/>
    <col min="5139" max="5139" width="17.140625" style="370" bestFit="1" customWidth="1"/>
    <col min="5140" max="5140" width="13.140625" style="370" bestFit="1" customWidth="1"/>
    <col min="5141" max="5141" width="14.7109375" style="370" bestFit="1" customWidth="1"/>
    <col min="5142" max="5142" width="26" style="370" bestFit="1" customWidth="1"/>
    <col min="5143" max="5143" width="18.140625" style="370" bestFit="1" customWidth="1"/>
    <col min="5144" max="5144" width="8.7109375" style="370" customWidth="1"/>
    <col min="5145" max="5145" width="10.140625" style="370" customWidth="1"/>
    <col min="5146" max="5146" width="18.7109375" style="370" customWidth="1"/>
    <col min="5147" max="5147" width="8" style="370" customWidth="1"/>
    <col min="5148" max="5148" width="19.42578125" style="370" bestFit="1" customWidth="1"/>
    <col min="5149" max="5149" width="16.140625" style="370" bestFit="1" customWidth="1"/>
    <col min="5150" max="5150" width="20.7109375" style="370" bestFit="1" customWidth="1"/>
    <col min="5151" max="5151" width="9.5703125" style="370" customWidth="1"/>
    <col min="5152" max="5152" width="12" style="370" bestFit="1" customWidth="1"/>
    <col min="5153" max="5153" width="27.140625" style="370" bestFit="1" customWidth="1"/>
    <col min="5154" max="5154" width="83.28515625" style="370" bestFit="1" customWidth="1"/>
    <col min="5155" max="5155" width="13" style="370" bestFit="1" customWidth="1"/>
    <col min="5156" max="5156" width="17.140625" style="370" bestFit="1" customWidth="1"/>
    <col min="5157" max="5157" width="18.5703125" style="370" bestFit="1" customWidth="1"/>
    <col min="5158" max="5158" width="20.7109375" style="370" bestFit="1" customWidth="1"/>
    <col min="5159" max="5159" width="20.5703125" style="370" bestFit="1" customWidth="1"/>
    <col min="5160" max="5160" width="22.140625" style="370" bestFit="1" customWidth="1"/>
    <col min="5161" max="5161" width="19.5703125" style="370" bestFit="1" customWidth="1"/>
    <col min="5162" max="5162" width="14.42578125" style="370" bestFit="1" customWidth="1"/>
    <col min="5163" max="5163" width="17" style="370" bestFit="1" customWidth="1"/>
    <col min="5164" max="5164" width="15.7109375" style="370" bestFit="1" customWidth="1"/>
    <col min="5165" max="5165" width="15.28515625" style="370" bestFit="1" customWidth="1"/>
    <col min="5166" max="5166" width="12.42578125" style="370" customWidth="1"/>
    <col min="5167" max="5167" width="13.42578125" style="370" bestFit="1" customWidth="1"/>
    <col min="5168" max="5368" width="9.140625" style="370"/>
    <col min="5369" max="5369" width="13" style="370" bestFit="1" customWidth="1"/>
    <col min="5370" max="5370" width="15.7109375" style="370" bestFit="1" customWidth="1"/>
    <col min="5371" max="5371" width="15.140625" style="370" bestFit="1" customWidth="1"/>
    <col min="5372" max="5372" width="7" style="370" customWidth="1"/>
    <col min="5373" max="5373" width="8.28515625" style="370" customWidth="1"/>
    <col min="5374" max="5374" width="7.28515625" style="370" customWidth="1"/>
    <col min="5375" max="5375" width="18.7109375" style="370" bestFit="1" customWidth="1"/>
    <col min="5376" max="5376" width="9.5703125" style="370" bestFit="1" customWidth="1"/>
    <col min="5377" max="5377" width="10.85546875" style="370" bestFit="1" customWidth="1"/>
    <col min="5378" max="5378" width="14.140625" style="370" bestFit="1" customWidth="1"/>
    <col min="5379" max="5379" width="20.5703125" style="370" bestFit="1" customWidth="1"/>
    <col min="5380" max="5388" width="11.140625" style="370" bestFit="1" customWidth="1"/>
    <col min="5389" max="5391" width="12.140625" style="370" bestFit="1" customWidth="1"/>
    <col min="5392" max="5392" width="10.85546875" style="370" bestFit="1" customWidth="1"/>
    <col min="5393" max="5393" width="11.42578125" style="370" bestFit="1" customWidth="1"/>
    <col min="5394" max="5394" width="12" style="370" bestFit="1" customWidth="1"/>
    <col min="5395" max="5395" width="17.140625" style="370" bestFit="1" customWidth="1"/>
    <col min="5396" max="5396" width="13.140625" style="370" bestFit="1" customWidth="1"/>
    <col min="5397" max="5397" width="14.7109375" style="370" bestFit="1" customWidth="1"/>
    <col min="5398" max="5398" width="26" style="370" bestFit="1" customWidth="1"/>
    <col min="5399" max="5399" width="18.140625" style="370" bestFit="1" customWidth="1"/>
    <col min="5400" max="5400" width="8.7109375" style="370" customWidth="1"/>
    <col min="5401" max="5401" width="10.140625" style="370" customWidth="1"/>
    <col min="5402" max="5402" width="18.7109375" style="370" customWidth="1"/>
    <col min="5403" max="5403" width="8" style="370" customWidth="1"/>
    <col min="5404" max="5404" width="19.42578125" style="370" bestFit="1" customWidth="1"/>
    <col min="5405" max="5405" width="16.140625" style="370" bestFit="1" customWidth="1"/>
    <col min="5406" max="5406" width="20.7109375" style="370" bestFit="1" customWidth="1"/>
    <col min="5407" max="5407" width="9.5703125" style="370" customWidth="1"/>
    <col min="5408" max="5408" width="12" style="370" bestFit="1" customWidth="1"/>
    <col min="5409" max="5409" width="27.140625" style="370" bestFit="1" customWidth="1"/>
    <col min="5410" max="5410" width="83.28515625" style="370" bestFit="1" customWidth="1"/>
    <col min="5411" max="5411" width="13" style="370" bestFit="1" customWidth="1"/>
    <col min="5412" max="5412" width="17.140625" style="370" bestFit="1" customWidth="1"/>
    <col min="5413" max="5413" width="18.5703125" style="370" bestFit="1" customWidth="1"/>
    <col min="5414" max="5414" width="20.7109375" style="370" bestFit="1" customWidth="1"/>
    <col min="5415" max="5415" width="20.5703125" style="370" bestFit="1" customWidth="1"/>
    <col min="5416" max="5416" width="22.140625" style="370" bestFit="1" customWidth="1"/>
    <col min="5417" max="5417" width="19.5703125" style="370" bestFit="1" customWidth="1"/>
    <col min="5418" max="5418" width="14.42578125" style="370" bestFit="1" customWidth="1"/>
    <col min="5419" max="5419" width="17" style="370" bestFit="1" customWidth="1"/>
    <col min="5420" max="5420" width="15.7109375" style="370" bestFit="1" customWidth="1"/>
    <col min="5421" max="5421" width="15.28515625" style="370" bestFit="1" customWidth="1"/>
    <col min="5422" max="5422" width="12.42578125" style="370" customWidth="1"/>
    <col min="5423" max="5423" width="13.42578125" style="370" bestFit="1" customWidth="1"/>
    <col min="5424" max="5624" width="9.140625" style="370"/>
    <col min="5625" max="5625" width="13" style="370" bestFit="1" customWidth="1"/>
    <col min="5626" max="5626" width="15.7109375" style="370" bestFit="1" customWidth="1"/>
    <col min="5627" max="5627" width="15.140625" style="370" bestFit="1" customWidth="1"/>
    <col min="5628" max="5628" width="7" style="370" customWidth="1"/>
    <col min="5629" max="5629" width="8.28515625" style="370" customWidth="1"/>
    <col min="5630" max="5630" width="7.28515625" style="370" customWidth="1"/>
    <col min="5631" max="5631" width="18.7109375" style="370" bestFit="1" customWidth="1"/>
    <col min="5632" max="5632" width="9.5703125" style="370" bestFit="1" customWidth="1"/>
    <col min="5633" max="5633" width="10.85546875" style="370" bestFit="1" customWidth="1"/>
    <col min="5634" max="5634" width="14.140625" style="370" bestFit="1" customWidth="1"/>
    <col min="5635" max="5635" width="20.5703125" style="370" bestFit="1" customWidth="1"/>
    <col min="5636" max="5644" width="11.140625" style="370" bestFit="1" customWidth="1"/>
    <col min="5645" max="5647" width="12.140625" style="370" bestFit="1" customWidth="1"/>
    <col min="5648" max="5648" width="10.85546875" style="370" bestFit="1" customWidth="1"/>
    <col min="5649" max="5649" width="11.42578125" style="370" bestFit="1" customWidth="1"/>
    <col min="5650" max="5650" width="12" style="370" bestFit="1" customWidth="1"/>
    <col min="5651" max="5651" width="17.140625" style="370" bestFit="1" customWidth="1"/>
    <col min="5652" max="5652" width="13.140625" style="370" bestFit="1" customWidth="1"/>
    <col min="5653" max="5653" width="14.7109375" style="370" bestFit="1" customWidth="1"/>
    <col min="5654" max="5654" width="26" style="370" bestFit="1" customWidth="1"/>
    <col min="5655" max="5655" width="18.140625" style="370" bestFit="1" customWidth="1"/>
    <col min="5656" max="5656" width="8.7109375" style="370" customWidth="1"/>
    <col min="5657" max="5657" width="10.140625" style="370" customWidth="1"/>
    <col min="5658" max="5658" width="18.7109375" style="370" customWidth="1"/>
    <col min="5659" max="5659" width="8" style="370" customWidth="1"/>
    <col min="5660" max="5660" width="19.42578125" style="370" bestFit="1" customWidth="1"/>
    <col min="5661" max="5661" width="16.140625" style="370" bestFit="1" customWidth="1"/>
    <col min="5662" max="5662" width="20.7109375" style="370" bestFit="1" customWidth="1"/>
    <col min="5663" max="5663" width="9.5703125" style="370" customWidth="1"/>
    <col min="5664" max="5664" width="12" style="370" bestFit="1" customWidth="1"/>
    <col min="5665" max="5665" width="27.140625" style="370" bestFit="1" customWidth="1"/>
    <col min="5666" max="5666" width="83.28515625" style="370" bestFit="1" customWidth="1"/>
    <col min="5667" max="5667" width="13" style="370" bestFit="1" customWidth="1"/>
    <col min="5668" max="5668" width="17.140625" style="370" bestFit="1" customWidth="1"/>
    <col min="5669" max="5669" width="18.5703125" style="370" bestFit="1" customWidth="1"/>
    <col min="5670" max="5670" width="20.7109375" style="370" bestFit="1" customWidth="1"/>
    <col min="5671" max="5671" width="20.5703125" style="370" bestFit="1" customWidth="1"/>
    <col min="5672" max="5672" width="22.140625" style="370" bestFit="1" customWidth="1"/>
    <col min="5673" max="5673" width="19.5703125" style="370" bestFit="1" customWidth="1"/>
    <col min="5674" max="5674" width="14.42578125" style="370" bestFit="1" customWidth="1"/>
    <col min="5675" max="5675" width="17" style="370" bestFit="1" customWidth="1"/>
    <col min="5676" max="5676" width="15.7109375" style="370" bestFit="1" customWidth="1"/>
    <col min="5677" max="5677" width="15.28515625" style="370" bestFit="1" customWidth="1"/>
    <col min="5678" max="5678" width="12.42578125" style="370" customWidth="1"/>
    <col min="5679" max="5679" width="13.42578125" style="370" bestFit="1" customWidth="1"/>
    <col min="5680" max="5880" width="9.140625" style="370"/>
    <col min="5881" max="5881" width="13" style="370" bestFit="1" customWidth="1"/>
    <col min="5882" max="5882" width="15.7109375" style="370" bestFit="1" customWidth="1"/>
    <col min="5883" max="5883" width="15.140625" style="370" bestFit="1" customWidth="1"/>
    <col min="5884" max="5884" width="7" style="370" customWidth="1"/>
    <col min="5885" max="5885" width="8.28515625" style="370" customWidth="1"/>
    <col min="5886" max="5886" width="7.28515625" style="370" customWidth="1"/>
    <col min="5887" max="5887" width="18.7109375" style="370" bestFit="1" customWidth="1"/>
    <col min="5888" max="5888" width="9.5703125" style="370" bestFit="1" customWidth="1"/>
    <col min="5889" max="5889" width="10.85546875" style="370" bestFit="1" customWidth="1"/>
    <col min="5890" max="5890" width="14.140625" style="370" bestFit="1" customWidth="1"/>
    <col min="5891" max="5891" width="20.5703125" style="370" bestFit="1" customWidth="1"/>
    <col min="5892" max="5900" width="11.140625" style="370" bestFit="1" customWidth="1"/>
    <col min="5901" max="5903" width="12.140625" style="370" bestFit="1" customWidth="1"/>
    <col min="5904" max="5904" width="10.85546875" style="370" bestFit="1" customWidth="1"/>
    <col min="5905" max="5905" width="11.42578125" style="370" bestFit="1" customWidth="1"/>
    <col min="5906" max="5906" width="12" style="370" bestFit="1" customWidth="1"/>
    <col min="5907" max="5907" width="17.140625" style="370" bestFit="1" customWidth="1"/>
    <col min="5908" max="5908" width="13.140625" style="370" bestFit="1" customWidth="1"/>
    <col min="5909" max="5909" width="14.7109375" style="370" bestFit="1" customWidth="1"/>
    <col min="5910" max="5910" width="26" style="370" bestFit="1" customWidth="1"/>
    <col min="5911" max="5911" width="18.140625" style="370" bestFit="1" customWidth="1"/>
    <col min="5912" max="5912" width="8.7109375" style="370" customWidth="1"/>
    <col min="5913" max="5913" width="10.140625" style="370" customWidth="1"/>
    <col min="5914" max="5914" width="18.7109375" style="370" customWidth="1"/>
    <col min="5915" max="5915" width="8" style="370" customWidth="1"/>
    <col min="5916" max="5916" width="19.42578125" style="370" bestFit="1" customWidth="1"/>
    <col min="5917" max="5917" width="16.140625" style="370" bestFit="1" customWidth="1"/>
    <col min="5918" max="5918" width="20.7109375" style="370" bestFit="1" customWidth="1"/>
    <col min="5919" max="5919" width="9.5703125" style="370" customWidth="1"/>
    <col min="5920" max="5920" width="12" style="370" bestFit="1" customWidth="1"/>
    <col min="5921" max="5921" width="27.140625" style="370" bestFit="1" customWidth="1"/>
    <col min="5922" max="5922" width="83.28515625" style="370" bestFit="1" customWidth="1"/>
    <col min="5923" max="5923" width="13" style="370" bestFit="1" customWidth="1"/>
    <col min="5924" max="5924" width="17.140625" style="370" bestFit="1" customWidth="1"/>
    <col min="5925" max="5925" width="18.5703125" style="370" bestFit="1" customWidth="1"/>
    <col min="5926" max="5926" width="20.7109375" style="370" bestFit="1" customWidth="1"/>
    <col min="5927" max="5927" width="20.5703125" style="370" bestFit="1" customWidth="1"/>
    <col min="5928" max="5928" width="22.140625" style="370" bestFit="1" customWidth="1"/>
    <col min="5929" max="5929" width="19.5703125" style="370" bestFit="1" customWidth="1"/>
    <col min="5930" max="5930" width="14.42578125" style="370" bestFit="1" customWidth="1"/>
    <col min="5931" max="5931" width="17" style="370" bestFit="1" customWidth="1"/>
    <col min="5932" max="5932" width="15.7109375" style="370" bestFit="1" customWidth="1"/>
    <col min="5933" max="5933" width="15.28515625" style="370" bestFit="1" customWidth="1"/>
    <col min="5934" max="5934" width="12.42578125" style="370" customWidth="1"/>
    <col min="5935" max="5935" width="13.42578125" style="370" bestFit="1" customWidth="1"/>
    <col min="5936" max="6136" width="9.140625" style="370"/>
    <col min="6137" max="6137" width="13" style="370" bestFit="1" customWidth="1"/>
    <col min="6138" max="6138" width="15.7109375" style="370" bestFit="1" customWidth="1"/>
    <col min="6139" max="6139" width="15.140625" style="370" bestFit="1" customWidth="1"/>
    <col min="6140" max="6140" width="7" style="370" customWidth="1"/>
    <col min="6141" max="6141" width="8.28515625" style="370" customWidth="1"/>
    <col min="6142" max="6142" width="7.28515625" style="370" customWidth="1"/>
    <col min="6143" max="6143" width="18.7109375" style="370" bestFit="1" customWidth="1"/>
    <col min="6144" max="6144" width="9.5703125" style="370" bestFit="1" customWidth="1"/>
    <col min="6145" max="6145" width="10.85546875" style="370" bestFit="1" customWidth="1"/>
    <col min="6146" max="6146" width="14.140625" style="370" bestFit="1" customWidth="1"/>
    <col min="6147" max="6147" width="20.5703125" style="370" bestFit="1" customWidth="1"/>
    <col min="6148" max="6156" width="11.140625" style="370" bestFit="1" customWidth="1"/>
    <col min="6157" max="6159" width="12.140625" style="370" bestFit="1" customWidth="1"/>
    <col min="6160" max="6160" width="10.85546875" style="370" bestFit="1" customWidth="1"/>
    <col min="6161" max="6161" width="11.42578125" style="370" bestFit="1" customWidth="1"/>
    <col min="6162" max="6162" width="12" style="370" bestFit="1" customWidth="1"/>
    <col min="6163" max="6163" width="17.140625" style="370" bestFit="1" customWidth="1"/>
    <col min="6164" max="6164" width="13.140625" style="370" bestFit="1" customWidth="1"/>
    <col min="6165" max="6165" width="14.7109375" style="370" bestFit="1" customWidth="1"/>
    <col min="6166" max="6166" width="26" style="370" bestFit="1" customWidth="1"/>
    <col min="6167" max="6167" width="18.140625" style="370" bestFit="1" customWidth="1"/>
    <col min="6168" max="6168" width="8.7109375" style="370" customWidth="1"/>
    <col min="6169" max="6169" width="10.140625" style="370" customWidth="1"/>
    <col min="6170" max="6170" width="18.7109375" style="370" customWidth="1"/>
    <col min="6171" max="6171" width="8" style="370" customWidth="1"/>
    <col min="6172" max="6172" width="19.42578125" style="370" bestFit="1" customWidth="1"/>
    <col min="6173" max="6173" width="16.140625" style="370" bestFit="1" customWidth="1"/>
    <col min="6174" max="6174" width="20.7109375" style="370" bestFit="1" customWidth="1"/>
    <col min="6175" max="6175" width="9.5703125" style="370" customWidth="1"/>
    <col min="6176" max="6176" width="12" style="370" bestFit="1" customWidth="1"/>
    <col min="6177" max="6177" width="27.140625" style="370" bestFit="1" customWidth="1"/>
    <col min="6178" max="6178" width="83.28515625" style="370" bestFit="1" customWidth="1"/>
    <col min="6179" max="6179" width="13" style="370" bestFit="1" customWidth="1"/>
    <col min="6180" max="6180" width="17.140625" style="370" bestFit="1" customWidth="1"/>
    <col min="6181" max="6181" width="18.5703125" style="370" bestFit="1" customWidth="1"/>
    <col min="6182" max="6182" width="20.7109375" style="370" bestFit="1" customWidth="1"/>
    <col min="6183" max="6183" width="20.5703125" style="370" bestFit="1" customWidth="1"/>
    <col min="6184" max="6184" width="22.140625" style="370" bestFit="1" customWidth="1"/>
    <col min="6185" max="6185" width="19.5703125" style="370" bestFit="1" customWidth="1"/>
    <col min="6186" max="6186" width="14.42578125" style="370" bestFit="1" customWidth="1"/>
    <col min="6187" max="6187" width="17" style="370" bestFit="1" customWidth="1"/>
    <col min="6188" max="6188" width="15.7109375" style="370" bestFit="1" customWidth="1"/>
    <col min="6189" max="6189" width="15.28515625" style="370" bestFit="1" customWidth="1"/>
    <col min="6190" max="6190" width="12.42578125" style="370" customWidth="1"/>
    <col min="6191" max="6191" width="13.42578125" style="370" bestFit="1" customWidth="1"/>
    <col min="6192" max="6392" width="9.140625" style="370"/>
    <col min="6393" max="6393" width="13" style="370" bestFit="1" customWidth="1"/>
    <col min="6394" max="6394" width="15.7109375" style="370" bestFit="1" customWidth="1"/>
    <col min="6395" max="6395" width="15.140625" style="370" bestFit="1" customWidth="1"/>
    <col min="6396" max="6396" width="7" style="370" customWidth="1"/>
    <col min="6397" max="6397" width="8.28515625" style="370" customWidth="1"/>
    <col min="6398" max="6398" width="7.28515625" style="370" customWidth="1"/>
    <col min="6399" max="6399" width="18.7109375" style="370" bestFit="1" customWidth="1"/>
    <col min="6400" max="6400" width="9.5703125" style="370" bestFit="1" customWidth="1"/>
    <col min="6401" max="6401" width="10.85546875" style="370" bestFit="1" customWidth="1"/>
    <col min="6402" max="6402" width="14.140625" style="370" bestFit="1" customWidth="1"/>
    <col min="6403" max="6403" width="20.5703125" style="370" bestFit="1" customWidth="1"/>
    <col min="6404" max="6412" width="11.140625" style="370" bestFit="1" customWidth="1"/>
    <col min="6413" max="6415" width="12.140625" style="370" bestFit="1" customWidth="1"/>
    <col min="6416" max="6416" width="10.85546875" style="370" bestFit="1" customWidth="1"/>
    <col min="6417" max="6417" width="11.42578125" style="370" bestFit="1" customWidth="1"/>
    <col min="6418" max="6418" width="12" style="370" bestFit="1" customWidth="1"/>
    <col min="6419" max="6419" width="17.140625" style="370" bestFit="1" customWidth="1"/>
    <col min="6420" max="6420" width="13.140625" style="370" bestFit="1" customWidth="1"/>
    <col min="6421" max="6421" width="14.7109375" style="370" bestFit="1" customWidth="1"/>
    <col min="6422" max="6422" width="26" style="370" bestFit="1" customWidth="1"/>
    <col min="6423" max="6423" width="18.140625" style="370" bestFit="1" customWidth="1"/>
    <col min="6424" max="6424" width="8.7109375" style="370" customWidth="1"/>
    <col min="6425" max="6425" width="10.140625" style="370" customWidth="1"/>
    <col min="6426" max="6426" width="18.7109375" style="370" customWidth="1"/>
    <col min="6427" max="6427" width="8" style="370" customWidth="1"/>
    <col min="6428" max="6428" width="19.42578125" style="370" bestFit="1" customWidth="1"/>
    <col min="6429" max="6429" width="16.140625" style="370" bestFit="1" customWidth="1"/>
    <col min="6430" max="6430" width="20.7109375" style="370" bestFit="1" customWidth="1"/>
    <col min="6431" max="6431" width="9.5703125" style="370" customWidth="1"/>
    <col min="6432" max="6432" width="12" style="370" bestFit="1" customWidth="1"/>
    <col min="6433" max="6433" width="27.140625" style="370" bestFit="1" customWidth="1"/>
    <col min="6434" max="6434" width="83.28515625" style="370" bestFit="1" customWidth="1"/>
    <col min="6435" max="6435" width="13" style="370" bestFit="1" customWidth="1"/>
    <col min="6436" max="6436" width="17.140625" style="370" bestFit="1" customWidth="1"/>
    <col min="6437" max="6437" width="18.5703125" style="370" bestFit="1" customWidth="1"/>
    <col min="6438" max="6438" width="20.7109375" style="370" bestFit="1" customWidth="1"/>
    <col min="6439" max="6439" width="20.5703125" style="370" bestFit="1" customWidth="1"/>
    <col min="6440" max="6440" width="22.140625" style="370" bestFit="1" customWidth="1"/>
    <col min="6441" max="6441" width="19.5703125" style="370" bestFit="1" customWidth="1"/>
    <col min="6442" max="6442" width="14.42578125" style="370" bestFit="1" customWidth="1"/>
    <col min="6443" max="6443" width="17" style="370" bestFit="1" customWidth="1"/>
    <col min="6444" max="6444" width="15.7109375" style="370" bestFit="1" customWidth="1"/>
    <col min="6445" max="6445" width="15.28515625" style="370" bestFit="1" customWidth="1"/>
    <col min="6446" max="6446" width="12.42578125" style="370" customWidth="1"/>
    <col min="6447" max="6447" width="13.42578125" style="370" bestFit="1" customWidth="1"/>
    <col min="6448" max="6648" width="9.140625" style="370"/>
    <col min="6649" max="6649" width="13" style="370" bestFit="1" customWidth="1"/>
    <col min="6650" max="6650" width="15.7109375" style="370" bestFit="1" customWidth="1"/>
    <col min="6651" max="6651" width="15.140625" style="370" bestFit="1" customWidth="1"/>
    <col min="6652" max="6652" width="7" style="370" customWidth="1"/>
    <col min="6653" max="6653" width="8.28515625" style="370" customWidth="1"/>
    <col min="6654" max="6654" width="7.28515625" style="370" customWidth="1"/>
    <col min="6655" max="6655" width="18.7109375" style="370" bestFit="1" customWidth="1"/>
    <col min="6656" max="6656" width="9.5703125" style="370" bestFit="1" customWidth="1"/>
    <col min="6657" max="6657" width="10.85546875" style="370" bestFit="1" customWidth="1"/>
    <col min="6658" max="6658" width="14.140625" style="370" bestFit="1" customWidth="1"/>
    <col min="6659" max="6659" width="20.5703125" style="370" bestFit="1" customWidth="1"/>
    <col min="6660" max="6668" width="11.140625" style="370" bestFit="1" customWidth="1"/>
    <col min="6669" max="6671" width="12.140625" style="370" bestFit="1" customWidth="1"/>
    <col min="6672" max="6672" width="10.85546875" style="370" bestFit="1" customWidth="1"/>
    <col min="6673" max="6673" width="11.42578125" style="370" bestFit="1" customWidth="1"/>
    <col min="6674" max="6674" width="12" style="370" bestFit="1" customWidth="1"/>
    <col min="6675" max="6675" width="17.140625" style="370" bestFit="1" customWidth="1"/>
    <col min="6676" max="6676" width="13.140625" style="370" bestFit="1" customWidth="1"/>
    <col min="6677" max="6677" width="14.7109375" style="370" bestFit="1" customWidth="1"/>
    <col min="6678" max="6678" width="26" style="370" bestFit="1" customWidth="1"/>
    <col min="6679" max="6679" width="18.140625" style="370" bestFit="1" customWidth="1"/>
    <col min="6680" max="6680" width="8.7109375" style="370" customWidth="1"/>
    <col min="6681" max="6681" width="10.140625" style="370" customWidth="1"/>
    <col min="6682" max="6682" width="18.7109375" style="370" customWidth="1"/>
    <col min="6683" max="6683" width="8" style="370" customWidth="1"/>
    <col min="6684" max="6684" width="19.42578125" style="370" bestFit="1" customWidth="1"/>
    <col min="6685" max="6685" width="16.140625" style="370" bestFit="1" customWidth="1"/>
    <col min="6686" max="6686" width="20.7109375" style="370" bestFit="1" customWidth="1"/>
    <col min="6687" max="6687" width="9.5703125" style="370" customWidth="1"/>
    <col min="6688" max="6688" width="12" style="370" bestFit="1" customWidth="1"/>
    <col min="6689" max="6689" width="27.140625" style="370" bestFit="1" customWidth="1"/>
    <col min="6690" max="6690" width="83.28515625" style="370" bestFit="1" customWidth="1"/>
    <col min="6691" max="6691" width="13" style="370" bestFit="1" customWidth="1"/>
    <col min="6692" max="6692" width="17.140625" style="370" bestFit="1" customWidth="1"/>
    <col min="6693" max="6693" width="18.5703125" style="370" bestFit="1" customWidth="1"/>
    <col min="6694" max="6694" width="20.7109375" style="370" bestFit="1" customWidth="1"/>
    <col min="6695" max="6695" width="20.5703125" style="370" bestFit="1" customWidth="1"/>
    <col min="6696" max="6696" width="22.140625" style="370" bestFit="1" customWidth="1"/>
    <col min="6697" max="6697" width="19.5703125" style="370" bestFit="1" customWidth="1"/>
    <col min="6698" max="6698" width="14.42578125" style="370" bestFit="1" customWidth="1"/>
    <col min="6699" max="6699" width="17" style="370" bestFit="1" customWidth="1"/>
    <col min="6700" max="6700" width="15.7109375" style="370" bestFit="1" customWidth="1"/>
    <col min="6701" max="6701" width="15.28515625" style="370" bestFit="1" customWidth="1"/>
    <col min="6702" max="6702" width="12.42578125" style="370" customWidth="1"/>
    <col min="6703" max="6703" width="13.42578125" style="370" bestFit="1" customWidth="1"/>
    <col min="6704" max="6904" width="9.140625" style="370"/>
    <col min="6905" max="6905" width="13" style="370" bestFit="1" customWidth="1"/>
    <col min="6906" max="6906" width="15.7109375" style="370" bestFit="1" customWidth="1"/>
    <col min="6907" max="6907" width="15.140625" style="370" bestFit="1" customWidth="1"/>
    <col min="6908" max="6908" width="7" style="370" customWidth="1"/>
    <col min="6909" max="6909" width="8.28515625" style="370" customWidth="1"/>
    <col min="6910" max="6910" width="7.28515625" style="370" customWidth="1"/>
    <col min="6911" max="6911" width="18.7109375" style="370" bestFit="1" customWidth="1"/>
    <col min="6912" max="6912" width="9.5703125" style="370" bestFit="1" customWidth="1"/>
    <col min="6913" max="6913" width="10.85546875" style="370" bestFit="1" customWidth="1"/>
    <col min="6914" max="6914" width="14.140625" style="370" bestFit="1" customWidth="1"/>
    <col min="6915" max="6915" width="20.5703125" style="370" bestFit="1" customWidth="1"/>
    <col min="6916" max="6924" width="11.140625" style="370" bestFit="1" customWidth="1"/>
    <col min="6925" max="6927" width="12.140625" style="370" bestFit="1" customWidth="1"/>
    <col min="6928" max="6928" width="10.85546875" style="370" bestFit="1" customWidth="1"/>
    <col min="6929" max="6929" width="11.42578125" style="370" bestFit="1" customWidth="1"/>
    <col min="6930" max="6930" width="12" style="370" bestFit="1" customWidth="1"/>
    <col min="6931" max="6931" width="17.140625" style="370" bestFit="1" customWidth="1"/>
    <col min="6932" max="6932" width="13.140625" style="370" bestFit="1" customWidth="1"/>
    <col min="6933" max="6933" width="14.7109375" style="370" bestFit="1" customWidth="1"/>
    <col min="6934" max="6934" width="26" style="370" bestFit="1" customWidth="1"/>
    <col min="6935" max="6935" width="18.140625" style="370" bestFit="1" customWidth="1"/>
    <col min="6936" max="6936" width="8.7109375" style="370" customWidth="1"/>
    <col min="6937" max="6937" width="10.140625" style="370" customWidth="1"/>
    <col min="6938" max="6938" width="18.7109375" style="370" customWidth="1"/>
    <col min="6939" max="6939" width="8" style="370" customWidth="1"/>
    <col min="6940" max="6940" width="19.42578125" style="370" bestFit="1" customWidth="1"/>
    <col min="6941" max="6941" width="16.140625" style="370" bestFit="1" customWidth="1"/>
    <col min="6942" max="6942" width="20.7109375" style="370" bestFit="1" customWidth="1"/>
    <col min="6943" max="6943" width="9.5703125" style="370" customWidth="1"/>
    <col min="6944" max="6944" width="12" style="370" bestFit="1" customWidth="1"/>
    <col min="6945" max="6945" width="27.140625" style="370" bestFit="1" customWidth="1"/>
    <col min="6946" max="6946" width="83.28515625" style="370" bestFit="1" customWidth="1"/>
    <col min="6947" max="6947" width="13" style="370" bestFit="1" customWidth="1"/>
    <col min="6948" max="6948" width="17.140625" style="370" bestFit="1" customWidth="1"/>
    <col min="6949" max="6949" width="18.5703125" style="370" bestFit="1" customWidth="1"/>
    <col min="6950" max="6950" width="20.7109375" style="370" bestFit="1" customWidth="1"/>
    <col min="6951" max="6951" width="20.5703125" style="370" bestFit="1" customWidth="1"/>
    <col min="6952" max="6952" width="22.140625" style="370" bestFit="1" customWidth="1"/>
    <col min="6953" max="6953" width="19.5703125" style="370" bestFit="1" customWidth="1"/>
    <col min="6954" max="6954" width="14.42578125" style="370" bestFit="1" customWidth="1"/>
    <col min="6955" max="6955" width="17" style="370" bestFit="1" customWidth="1"/>
    <col min="6956" max="6956" width="15.7109375" style="370" bestFit="1" customWidth="1"/>
    <col min="6957" max="6957" width="15.28515625" style="370" bestFit="1" customWidth="1"/>
    <col min="6958" max="6958" width="12.42578125" style="370" customWidth="1"/>
    <col min="6959" max="6959" width="13.42578125" style="370" bestFit="1" customWidth="1"/>
    <col min="6960" max="7160" width="9.140625" style="370"/>
    <col min="7161" max="7161" width="13" style="370" bestFit="1" customWidth="1"/>
    <col min="7162" max="7162" width="15.7109375" style="370" bestFit="1" customWidth="1"/>
    <col min="7163" max="7163" width="15.140625" style="370" bestFit="1" customWidth="1"/>
    <col min="7164" max="7164" width="7" style="370" customWidth="1"/>
    <col min="7165" max="7165" width="8.28515625" style="370" customWidth="1"/>
    <col min="7166" max="7166" width="7.28515625" style="370" customWidth="1"/>
    <col min="7167" max="7167" width="18.7109375" style="370" bestFit="1" customWidth="1"/>
    <col min="7168" max="7168" width="9.5703125" style="370" bestFit="1" customWidth="1"/>
    <col min="7169" max="7169" width="10.85546875" style="370" bestFit="1" customWidth="1"/>
    <col min="7170" max="7170" width="14.140625" style="370" bestFit="1" customWidth="1"/>
    <col min="7171" max="7171" width="20.5703125" style="370" bestFit="1" customWidth="1"/>
    <col min="7172" max="7180" width="11.140625" style="370" bestFit="1" customWidth="1"/>
    <col min="7181" max="7183" width="12.140625" style="370" bestFit="1" customWidth="1"/>
    <col min="7184" max="7184" width="10.85546875" style="370" bestFit="1" customWidth="1"/>
    <col min="7185" max="7185" width="11.42578125" style="370" bestFit="1" customWidth="1"/>
    <col min="7186" max="7186" width="12" style="370" bestFit="1" customWidth="1"/>
    <col min="7187" max="7187" width="17.140625" style="370" bestFit="1" customWidth="1"/>
    <col min="7188" max="7188" width="13.140625" style="370" bestFit="1" customWidth="1"/>
    <col min="7189" max="7189" width="14.7109375" style="370" bestFit="1" customWidth="1"/>
    <col min="7190" max="7190" width="26" style="370" bestFit="1" customWidth="1"/>
    <col min="7191" max="7191" width="18.140625" style="370" bestFit="1" customWidth="1"/>
    <col min="7192" max="7192" width="8.7109375" style="370" customWidth="1"/>
    <col min="7193" max="7193" width="10.140625" style="370" customWidth="1"/>
    <col min="7194" max="7194" width="18.7109375" style="370" customWidth="1"/>
    <col min="7195" max="7195" width="8" style="370" customWidth="1"/>
    <col min="7196" max="7196" width="19.42578125" style="370" bestFit="1" customWidth="1"/>
    <col min="7197" max="7197" width="16.140625" style="370" bestFit="1" customWidth="1"/>
    <col min="7198" max="7198" width="20.7109375" style="370" bestFit="1" customWidth="1"/>
    <col min="7199" max="7199" width="9.5703125" style="370" customWidth="1"/>
    <col min="7200" max="7200" width="12" style="370" bestFit="1" customWidth="1"/>
    <col min="7201" max="7201" width="27.140625" style="370" bestFit="1" customWidth="1"/>
    <col min="7202" max="7202" width="83.28515625" style="370" bestFit="1" customWidth="1"/>
    <col min="7203" max="7203" width="13" style="370" bestFit="1" customWidth="1"/>
    <col min="7204" max="7204" width="17.140625" style="370" bestFit="1" customWidth="1"/>
    <col min="7205" max="7205" width="18.5703125" style="370" bestFit="1" customWidth="1"/>
    <col min="7206" max="7206" width="20.7109375" style="370" bestFit="1" customWidth="1"/>
    <col min="7207" max="7207" width="20.5703125" style="370" bestFit="1" customWidth="1"/>
    <col min="7208" max="7208" width="22.140625" style="370" bestFit="1" customWidth="1"/>
    <col min="7209" max="7209" width="19.5703125" style="370" bestFit="1" customWidth="1"/>
    <col min="7210" max="7210" width="14.42578125" style="370" bestFit="1" customWidth="1"/>
    <col min="7211" max="7211" width="17" style="370" bestFit="1" customWidth="1"/>
    <col min="7212" max="7212" width="15.7109375" style="370" bestFit="1" customWidth="1"/>
    <col min="7213" max="7213" width="15.28515625" style="370" bestFit="1" customWidth="1"/>
    <col min="7214" max="7214" width="12.42578125" style="370" customWidth="1"/>
    <col min="7215" max="7215" width="13.42578125" style="370" bestFit="1" customWidth="1"/>
    <col min="7216" max="7416" width="9.140625" style="370"/>
    <col min="7417" max="7417" width="13" style="370" bestFit="1" customWidth="1"/>
    <col min="7418" max="7418" width="15.7109375" style="370" bestFit="1" customWidth="1"/>
    <col min="7419" max="7419" width="15.140625" style="370" bestFit="1" customWidth="1"/>
    <col min="7420" max="7420" width="7" style="370" customWidth="1"/>
    <col min="7421" max="7421" width="8.28515625" style="370" customWidth="1"/>
    <col min="7422" max="7422" width="7.28515625" style="370" customWidth="1"/>
    <col min="7423" max="7423" width="18.7109375" style="370" bestFit="1" customWidth="1"/>
    <col min="7424" max="7424" width="9.5703125" style="370" bestFit="1" customWidth="1"/>
    <col min="7425" max="7425" width="10.85546875" style="370" bestFit="1" customWidth="1"/>
    <col min="7426" max="7426" width="14.140625" style="370" bestFit="1" customWidth="1"/>
    <col min="7427" max="7427" width="20.5703125" style="370" bestFit="1" customWidth="1"/>
    <col min="7428" max="7436" width="11.140625" style="370" bestFit="1" customWidth="1"/>
    <col min="7437" max="7439" width="12.140625" style="370" bestFit="1" customWidth="1"/>
    <col min="7440" max="7440" width="10.85546875" style="370" bestFit="1" customWidth="1"/>
    <col min="7441" max="7441" width="11.42578125" style="370" bestFit="1" customWidth="1"/>
    <col min="7442" max="7442" width="12" style="370" bestFit="1" customWidth="1"/>
    <col min="7443" max="7443" width="17.140625" style="370" bestFit="1" customWidth="1"/>
    <col min="7444" max="7444" width="13.140625" style="370" bestFit="1" customWidth="1"/>
    <col min="7445" max="7445" width="14.7109375" style="370" bestFit="1" customWidth="1"/>
    <col min="7446" max="7446" width="26" style="370" bestFit="1" customWidth="1"/>
    <col min="7447" max="7447" width="18.140625" style="370" bestFit="1" customWidth="1"/>
    <col min="7448" max="7448" width="8.7109375" style="370" customWidth="1"/>
    <col min="7449" max="7449" width="10.140625" style="370" customWidth="1"/>
    <col min="7450" max="7450" width="18.7109375" style="370" customWidth="1"/>
    <col min="7451" max="7451" width="8" style="370" customWidth="1"/>
    <col min="7452" max="7452" width="19.42578125" style="370" bestFit="1" customWidth="1"/>
    <col min="7453" max="7453" width="16.140625" style="370" bestFit="1" customWidth="1"/>
    <col min="7454" max="7454" width="20.7109375" style="370" bestFit="1" customWidth="1"/>
    <col min="7455" max="7455" width="9.5703125" style="370" customWidth="1"/>
    <col min="7456" max="7456" width="12" style="370" bestFit="1" customWidth="1"/>
    <col min="7457" max="7457" width="27.140625" style="370" bestFit="1" customWidth="1"/>
    <col min="7458" max="7458" width="83.28515625" style="370" bestFit="1" customWidth="1"/>
    <col min="7459" max="7459" width="13" style="370" bestFit="1" customWidth="1"/>
    <col min="7460" max="7460" width="17.140625" style="370" bestFit="1" customWidth="1"/>
    <col min="7461" max="7461" width="18.5703125" style="370" bestFit="1" customWidth="1"/>
    <col min="7462" max="7462" width="20.7109375" style="370" bestFit="1" customWidth="1"/>
    <col min="7463" max="7463" width="20.5703125" style="370" bestFit="1" customWidth="1"/>
    <col min="7464" max="7464" width="22.140625" style="370" bestFit="1" customWidth="1"/>
    <col min="7465" max="7465" width="19.5703125" style="370" bestFit="1" customWidth="1"/>
    <col min="7466" max="7466" width="14.42578125" style="370" bestFit="1" customWidth="1"/>
    <col min="7467" max="7467" width="17" style="370" bestFit="1" customWidth="1"/>
    <col min="7468" max="7468" width="15.7109375" style="370" bestFit="1" customWidth="1"/>
    <col min="7469" max="7469" width="15.28515625" style="370" bestFit="1" customWidth="1"/>
    <col min="7470" max="7470" width="12.42578125" style="370" customWidth="1"/>
    <col min="7471" max="7471" width="13.42578125" style="370" bestFit="1" customWidth="1"/>
    <col min="7472" max="7672" width="9.140625" style="370"/>
    <col min="7673" max="7673" width="13" style="370" bestFit="1" customWidth="1"/>
    <col min="7674" max="7674" width="15.7109375" style="370" bestFit="1" customWidth="1"/>
    <col min="7675" max="7675" width="15.140625" style="370" bestFit="1" customWidth="1"/>
    <col min="7676" max="7676" width="7" style="370" customWidth="1"/>
    <col min="7677" max="7677" width="8.28515625" style="370" customWidth="1"/>
    <col min="7678" max="7678" width="7.28515625" style="370" customWidth="1"/>
    <col min="7679" max="7679" width="18.7109375" style="370" bestFit="1" customWidth="1"/>
    <col min="7680" max="7680" width="9.5703125" style="370" bestFit="1" customWidth="1"/>
    <col min="7681" max="7681" width="10.85546875" style="370" bestFit="1" customWidth="1"/>
    <col min="7682" max="7682" width="14.140625" style="370" bestFit="1" customWidth="1"/>
    <col min="7683" max="7683" width="20.5703125" style="370" bestFit="1" customWidth="1"/>
    <col min="7684" max="7692" width="11.140625" style="370" bestFit="1" customWidth="1"/>
    <col min="7693" max="7695" width="12.140625" style="370" bestFit="1" customWidth="1"/>
    <col min="7696" max="7696" width="10.85546875" style="370" bestFit="1" customWidth="1"/>
    <col min="7697" max="7697" width="11.42578125" style="370" bestFit="1" customWidth="1"/>
    <col min="7698" max="7698" width="12" style="370" bestFit="1" customWidth="1"/>
    <col min="7699" max="7699" width="17.140625" style="370" bestFit="1" customWidth="1"/>
    <col min="7700" max="7700" width="13.140625" style="370" bestFit="1" customWidth="1"/>
    <col min="7701" max="7701" width="14.7109375" style="370" bestFit="1" customWidth="1"/>
    <col min="7702" max="7702" width="26" style="370" bestFit="1" customWidth="1"/>
    <col min="7703" max="7703" width="18.140625" style="370" bestFit="1" customWidth="1"/>
    <col min="7704" max="7704" width="8.7109375" style="370" customWidth="1"/>
    <col min="7705" max="7705" width="10.140625" style="370" customWidth="1"/>
    <col min="7706" max="7706" width="18.7109375" style="370" customWidth="1"/>
    <col min="7707" max="7707" width="8" style="370" customWidth="1"/>
    <col min="7708" max="7708" width="19.42578125" style="370" bestFit="1" customWidth="1"/>
    <col min="7709" max="7709" width="16.140625" style="370" bestFit="1" customWidth="1"/>
    <col min="7710" max="7710" width="20.7109375" style="370" bestFit="1" customWidth="1"/>
    <col min="7711" max="7711" width="9.5703125" style="370" customWidth="1"/>
    <col min="7712" max="7712" width="12" style="370" bestFit="1" customWidth="1"/>
    <col min="7713" max="7713" width="27.140625" style="370" bestFit="1" customWidth="1"/>
    <col min="7714" max="7714" width="83.28515625" style="370" bestFit="1" customWidth="1"/>
    <col min="7715" max="7715" width="13" style="370" bestFit="1" customWidth="1"/>
    <col min="7716" max="7716" width="17.140625" style="370" bestFit="1" customWidth="1"/>
    <col min="7717" max="7717" width="18.5703125" style="370" bestFit="1" customWidth="1"/>
    <col min="7718" max="7718" width="20.7109375" style="370" bestFit="1" customWidth="1"/>
    <col min="7719" max="7719" width="20.5703125" style="370" bestFit="1" customWidth="1"/>
    <col min="7720" max="7720" width="22.140625" style="370" bestFit="1" customWidth="1"/>
    <col min="7721" max="7721" width="19.5703125" style="370" bestFit="1" customWidth="1"/>
    <col min="7722" max="7722" width="14.42578125" style="370" bestFit="1" customWidth="1"/>
    <col min="7723" max="7723" width="17" style="370" bestFit="1" customWidth="1"/>
    <col min="7724" max="7724" width="15.7109375" style="370" bestFit="1" customWidth="1"/>
    <col min="7725" max="7725" width="15.28515625" style="370" bestFit="1" customWidth="1"/>
    <col min="7726" max="7726" width="12.42578125" style="370" customWidth="1"/>
    <col min="7727" max="7727" width="13.42578125" style="370" bestFit="1" customWidth="1"/>
    <col min="7728" max="7928" width="9.140625" style="370"/>
    <col min="7929" max="7929" width="13" style="370" bestFit="1" customWidth="1"/>
    <col min="7930" max="7930" width="15.7109375" style="370" bestFit="1" customWidth="1"/>
    <col min="7931" max="7931" width="15.140625" style="370" bestFit="1" customWidth="1"/>
    <col min="7932" max="7932" width="7" style="370" customWidth="1"/>
    <col min="7933" max="7933" width="8.28515625" style="370" customWidth="1"/>
    <col min="7934" max="7934" width="7.28515625" style="370" customWidth="1"/>
    <col min="7935" max="7935" width="18.7109375" style="370" bestFit="1" customWidth="1"/>
    <col min="7936" max="7936" width="9.5703125" style="370" bestFit="1" customWidth="1"/>
    <col min="7937" max="7937" width="10.85546875" style="370" bestFit="1" customWidth="1"/>
    <col min="7938" max="7938" width="14.140625" style="370" bestFit="1" customWidth="1"/>
    <col min="7939" max="7939" width="20.5703125" style="370" bestFit="1" customWidth="1"/>
    <col min="7940" max="7948" width="11.140625" style="370" bestFit="1" customWidth="1"/>
    <col min="7949" max="7951" width="12.140625" style="370" bestFit="1" customWidth="1"/>
    <col min="7952" max="7952" width="10.85546875" style="370" bestFit="1" customWidth="1"/>
    <col min="7953" max="7953" width="11.42578125" style="370" bestFit="1" customWidth="1"/>
    <col min="7954" max="7954" width="12" style="370" bestFit="1" customWidth="1"/>
    <col min="7955" max="7955" width="17.140625" style="370" bestFit="1" customWidth="1"/>
    <col min="7956" max="7956" width="13.140625" style="370" bestFit="1" customWidth="1"/>
    <col min="7957" max="7957" width="14.7109375" style="370" bestFit="1" customWidth="1"/>
    <col min="7958" max="7958" width="26" style="370" bestFit="1" customWidth="1"/>
    <col min="7959" max="7959" width="18.140625" style="370" bestFit="1" customWidth="1"/>
    <col min="7960" max="7960" width="8.7109375" style="370" customWidth="1"/>
    <col min="7961" max="7961" width="10.140625" style="370" customWidth="1"/>
    <col min="7962" max="7962" width="18.7109375" style="370" customWidth="1"/>
    <col min="7963" max="7963" width="8" style="370" customWidth="1"/>
    <col min="7964" max="7964" width="19.42578125" style="370" bestFit="1" customWidth="1"/>
    <col min="7965" max="7965" width="16.140625" style="370" bestFit="1" customWidth="1"/>
    <col min="7966" max="7966" width="20.7109375" style="370" bestFit="1" customWidth="1"/>
    <col min="7967" max="7967" width="9.5703125" style="370" customWidth="1"/>
    <col min="7968" max="7968" width="12" style="370" bestFit="1" customWidth="1"/>
    <col min="7969" max="7969" width="27.140625" style="370" bestFit="1" customWidth="1"/>
    <col min="7970" max="7970" width="83.28515625" style="370" bestFit="1" customWidth="1"/>
    <col min="7971" max="7971" width="13" style="370" bestFit="1" customWidth="1"/>
    <col min="7972" max="7972" width="17.140625" style="370" bestFit="1" customWidth="1"/>
    <col min="7973" max="7973" width="18.5703125" style="370" bestFit="1" customWidth="1"/>
    <col min="7974" max="7974" width="20.7109375" style="370" bestFit="1" customWidth="1"/>
    <col min="7975" max="7975" width="20.5703125" style="370" bestFit="1" customWidth="1"/>
    <col min="7976" max="7976" width="22.140625" style="370" bestFit="1" customWidth="1"/>
    <col min="7977" max="7977" width="19.5703125" style="370" bestFit="1" customWidth="1"/>
    <col min="7978" max="7978" width="14.42578125" style="370" bestFit="1" customWidth="1"/>
    <col min="7979" max="7979" width="17" style="370" bestFit="1" customWidth="1"/>
    <col min="7980" max="7980" width="15.7109375" style="370" bestFit="1" customWidth="1"/>
    <col min="7981" max="7981" width="15.28515625" style="370" bestFit="1" customWidth="1"/>
    <col min="7982" max="7982" width="12.42578125" style="370" customWidth="1"/>
    <col min="7983" max="7983" width="13.42578125" style="370" bestFit="1" customWidth="1"/>
    <col min="7984" max="8184" width="9.140625" style="370"/>
    <col min="8185" max="8185" width="13" style="370" bestFit="1" customWidth="1"/>
    <col min="8186" max="8186" width="15.7109375" style="370" bestFit="1" customWidth="1"/>
    <col min="8187" max="8187" width="15.140625" style="370" bestFit="1" customWidth="1"/>
    <col min="8188" max="8188" width="7" style="370" customWidth="1"/>
    <col min="8189" max="8189" width="8.28515625" style="370" customWidth="1"/>
    <col min="8190" max="8190" width="7.28515625" style="370" customWidth="1"/>
    <col min="8191" max="8191" width="18.7109375" style="370" bestFit="1" customWidth="1"/>
    <col min="8192" max="8192" width="9.5703125" style="370" bestFit="1" customWidth="1"/>
    <col min="8193" max="8193" width="10.85546875" style="370" bestFit="1" customWidth="1"/>
    <col min="8194" max="8194" width="14.140625" style="370" bestFit="1" customWidth="1"/>
    <col min="8195" max="8195" width="20.5703125" style="370" bestFit="1" customWidth="1"/>
    <col min="8196" max="8204" width="11.140625" style="370" bestFit="1" customWidth="1"/>
    <col min="8205" max="8207" width="12.140625" style="370" bestFit="1" customWidth="1"/>
    <col min="8208" max="8208" width="10.85546875" style="370" bestFit="1" customWidth="1"/>
    <col min="8209" max="8209" width="11.42578125" style="370" bestFit="1" customWidth="1"/>
    <col min="8210" max="8210" width="12" style="370" bestFit="1" customWidth="1"/>
    <col min="8211" max="8211" width="17.140625" style="370" bestFit="1" customWidth="1"/>
    <col min="8212" max="8212" width="13.140625" style="370" bestFit="1" customWidth="1"/>
    <col min="8213" max="8213" width="14.7109375" style="370" bestFit="1" customWidth="1"/>
    <col min="8214" max="8214" width="26" style="370" bestFit="1" customWidth="1"/>
    <col min="8215" max="8215" width="18.140625" style="370" bestFit="1" customWidth="1"/>
    <col min="8216" max="8216" width="8.7109375" style="370" customWidth="1"/>
    <col min="8217" max="8217" width="10.140625" style="370" customWidth="1"/>
    <col min="8218" max="8218" width="18.7109375" style="370" customWidth="1"/>
    <col min="8219" max="8219" width="8" style="370" customWidth="1"/>
    <col min="8220" max="8220" width="19.42578125" style="370" bestFit="1" customWidth="1"/>
    <col min="8221" max="8221" width="16.140625" style="370" bestFit="1" customWidth="1"/>
    <col min="8222" max="8222" width="20.7109375" style="370" bestFit="1" customWidth="1"/>
    <col min="8223" max="8223" width="9.5703125" style="370" customWidth="1"/>
    <col min="8224" max="8224" width="12" style="370" bestFit="1" customWidth="1"/>
    <col min="8225" max="8225" width="27.140625" style="370" bestFit="1" customWidth="1"/>
    <col min="8226" max="8226" width="83.28515625" style="370" bestFit="1" customWidth="1"/>
    <col min="8227" max="8227" width="13" style="370" bestFit="1" customWidth="1"/>
    <col min="8228" max="8228" width="17.140625" style="370" bestFit="1" customWidth="1"/>
    <col min="8229" max="8229" width="18.5703125" style="370" bestFit="1" customWidth="1"/>
    <col min="8230" max="8230" width="20.7109375" style="370" bestFit="1" customWidth="1"/>
    <col min="8231" max="8231" width="20.5703125" style="370" bestFit="1" customWidth="1"/>
    <col min="8232" max="8232" width="22.140625" style="370" bestFit="1" customWidth="1"/>
    <col min="8233" max="8233" width="19.5703125" style="370" bestFit="1" customWidth="1"/>
    <col min="8234" max="8234" width="14.42578125" style="370" bestFit="1" customWidth="1"/>
    <col min="8235" max="8235" width="17" style="370" bestFit="1" customWidth="1"/>
    <col min="8236" max="8236" width="15.7109375" style="370" bestFit="1" customWidth="1"/>
    <col min="8237" max="8237" width="15.28515625" style="370" bestFit="1" customWidth="1"/>
    <col min="8238" max="8238" width="12.42578125" style="370" customWidth="1"/>
    <col min="8239" max="8239" width="13.42578125" style="370" bestFit="1" customWidth="1"/>
    <col min="8240" max="8440" width="9.140625" style="370"/>
    <col min="8441" max="8441" width="13" style="370" bestFit="1" customWidth="1"/>
    <col min="8442" max="8442" width="15.7109375" style="370" bestFit="1" customWidth="1"/>
    <col min="8443" max="8443" width="15.140625" style="370" bestFit="1" customWidth="1"/>
    <col min="8444" max="8444" width="7" style="370" customWidth="1"/>
    <col min="8445" max="8445" width="8.28515625" style="370" customWidth="1"/>
    <col min="8446" max="8446" width="7.28515625" style="370" customWidth="1"/>
    <col min="8447" max="8447" width="18.7109375" style="370" bestFit="1" customWidth="1"/>
    <col min="8448" max="8448" width="9.5703125" style="370" bestFit="1" customWidth="1"/>
    <col min="8449" max="8449" width="10.85546875" style="370" bestFit="1" customWidth="1"/>
    <col min="8450" max="8450" width="14.140625" style="370" bestFit="1" customWidth="1"/>
    <col min="8451" max="8451" width="20.5703125" style="370" bestFit="1" customWidth="1"/>
    <col min="8452" max="8460" width="11.140625" style="370" bestFit="1" customWidth="1"/>
    <col min="8461" max="8463" width="12.140625" style="370" bestFit="1" customWidth="1"/>
    <col min="8464" max="8464" width="10.85546875" style="370" bestFit="1" customWidth="1"/>
    <col min="8465" max="8465" width="11.42578125" style="370" bestFit="1" customWidth="1"/>
    <col min="8466" max="8466" width="12" style="370" bestFit="1" customWidth="1"/>
    <col min="8467" max="8467" width="17.140625" style="370" bestFit="1" customWidth="1"/>
    <col min="8468" max="8468" width="13.140625" style="370" bestFit="1" customWidth="1"/>
    <col min="8469" max="8469" width="14.7109375" style="370" bestFit="1" customWidth="1"/>
    <col min="8470" max="8470" width="26" style="370" bestFit="1" customWidth="1"/>
    <col min="8471" max="8471" width="18.140625" style="370" bestFit="1" customWidth="1"/>
    <col min="8472" max="8472" width="8.7109375" style="370" customWidth="1"/>
    <col min="8473" max="8473" width="10.140625" style="370" customWidth="1"/>
    <col min="8474" max="8474" width="18.7109375" style="370" customWidth="1"/>
    <col min="8475" max="8475" width="8" style="370" customWidth="1"/>
    <col min="8476" max="8476" width="19.42578125" style="370" bestFit="1" customWidth="1"/>
    <col min="8477" max="8477" width="16.140625" style="370" bestFit="1" customWidth="1"/>
    <col min="8478" max="8478" width="20.7109375" style="370" bestFit="1" customWidth="1"/>
    <col min="8479" max="8479" width="9.5703125" style="370" customWidth="1"/>
    <col min="8480" max="8480" width="12" style="370" bestFit="1" customWidth="1"/>
    <col min="8481" max="8481" width="27.140625" style="370" bestFit="1" customWidth="1"/>
    <col min="8482" max="8482" width="83.28515625" style="370" bestFit="1" customWidth="1"/>
    <col min="8483" max="8483" width="13" style="370" bestFit="1" customWidth="1"/>
    <col min="8484" max="8484" width="17.140625" style="370" bestFit="1" customWidth="1"/>
    <col min="8485" max="8485" width="18.5703125" style="370" bestFit="1" customWidth="1"/>
    <col min="8486" max="8486" width="20.7109375" style="370" bestFit="1" customWidth="1"/>
    <col min="8487" max="8487" width="20.5703125" style="370" bestFit="1" customWidth="1"/>
    <col min="8488" max="8488" width="22.140625" style="370" bestFit="1" customWidth="1"/>
    <col min="8489" max="8489" width="19.5703125" style="370" bestFit="1" customWidth="1"/>
    <col min="8490" max="8490" width="14.42578125" style="370" bestFit="1" customWidth="1"/>
    <col min="8491" max="8491" width="17" style="370" bestFit="1" customWidth="1"/>
    <col min="8492" max="8492" width="15.7109375" style="370" bestFit="1" customWidth="1"/>
    <col min="8493" max="8493" width="15.28515625" style="370" bestFit="1" customWidth="1"/>
    <col min="8494" max="8494" width="12.42578125" style="370" customWidth="1"/>
    <col min="8495" max="8495" width="13.42578125" style="370" bestFit="1" customWidth="1"/>
    <col min="8496" max="8696" width="9.140625" style="370"/>
    <col min="8697" max="8697" width="13" style="370" bestFit="1" customWidth="1"/>
    <col min="8698" max="8698" width="15.7109375" style="370" bestFit="1" customWidth="1"/>
    <col min="8699" max="8699" width="15.140625" style="370" bestFit="1" customWidth="1"/>
    <col min="8700" max="8700" width="7" style="370" customWidth="1"/>
    <col min="8701" max="8701" width="8.28515625" style="370" customWidth="1"/>
    <col min="8702" max="8702" width="7.28515625" style="370" customWidth="1"/>
    <col min="8703" max="8703" width="18.7109375" style="370" bestFit="1" customWidth="1"/>
    <col min="8704" max="8704" width="9.5703125" style="370" bestFit="1" customWidth="1"/>
    <col min="8705" max="8705" width="10.85546875" style="370" bestFit="1" customWidth="1"/>
    <col min="8706" max="8706" width="14.140625" style="370" bestFit="1" customWidth="1"/>
    <col min="8707" max="8707" width="20.5703125" style="370" bestFit="1" customWidth="1"/>
    <col min="8708" max="8716" width="11.140625" style="370" bestFit="1" customWidth="1"/>
    <col min="8717" max="8719" width="12.140625" style="370" bestFit="1" customWidth="1"/>
    <col min="8720" max="8720" width="10.85546875" style="370" bestFit="1" customWidth="1"/>
    <col min="8721" max="8721" width="11.42578125" style="370" bestFit="1" customWidth="1"/>
    <col min="8722" max="8722" width="12" style="370" bestFit="1" customWidth="1"/>
    <col min="8723" max="8723" width="17.140625" style="370" bestFit="1" customWidth="1"/>
    <col min="8724" max="8724" width="13.140625" style="370" bestFit="1" customWidth="1"/>
    <col min="8725" max="8725" width="14.7109375" style="370" bestFit="1" customWidth="1"/>
    <col min="8726" max="8726" width="26" style="370" bestFit="1" customWidth="1"/>
    <col min="8727" max="8727" width="18.140625" style="370" bestFit="1" customWidth="1"/>
    <col min="8728" max="8728" width="8.7109375" style="370" customWidth="1"/>
    <col min="8729" max="8729" width="10.140625" style="370" customWidth="1"/>
    <col min="8730" max="8730" width="18.7109375" style="370" customWidth="1"/>
    <col min="8731" max="8731" width="8" style="370" customWidth="1"/>
    <col min="8732" max="8732" width="19.42578125" style="370" bestFit="1" customWidth="1"/>
    <col min="8733" max="8733" width="16.140625" style="370" bestFit="1" customWidth="1"/>
    <col min="8734" max="8734" width="20.7109375" style="370" bestFit="1" customWidth="1"/>
    <col min="8735" max="8735" width="9.5703125" style="370" customWidth="1"/>
    <col min="8736" max="8736" width="12" style="370" bestFit="1" customWidth="1"/>
    <col min="8737" max="8737" width="27.140625" style="370" bestFit="1" customWidth="1"/>
    <col min="8738" max="8738" width="83.28515625" style="370" bestFit="1" customWidth="1"/>
    <col min="8739" max="8739" width="13" style="370" bestFit="1" customWidth="1"/>
    <col min="8740" max="8740" width="17.140625" style="370" bestFit="1" customWidth="1"/>
    <col min="8741" max="8741" width="18.5703125" style="370" bestFit="1" customWidth="1"/>
    <col min="8742" max="8742" width="20.7109375" style="370" bestFit="1" customWidth="1"/>
    <col min="8743" max="8743" width="20.5703125" style="370" bestFit="1" customWidth="1"/>
    <col min="8744" max="8744" width="22.140625" style="370" bestFit="1" customWidth="1"/>
    <col min="8745" max="8745" width="19.5703125" style="370" bestFit="1" customWidth="1"/>
    <col min="8746" max="8746" width="14.42578125" style="370" bestFit="1" customWidth="1"/>
    <col min="8747" max="8747" width="17" style="370" bestFit="1" customWidth="1"/>
    <col min="8748" max="8748" width="15.7109375" style="370" bestFit="1" customWidth="1"/>
    <col min="8749" max="8749" width="15.28515625" style="370" bestFit="1" customWidth="1"/>
    <col min="8750" max="8750" width="12.42578125" style="370" customWidth="1"/>
    <col min="8751" max="8751" width="13.42578125" style="370" bestFit="1" customWidth="1"/>
    <col min="8752" max="8952" width="9.140625" style="370"/>
    <col min="8953" max="8953" width="13" style="370" bestFit="1" customWidth="1"/>
    <col min="8954" max="8954" width="15.7109375" style="370" bestFit="1" customWidth="1"/>
    <col min="8955" max="8955" width="15.140625" style="370" bestFit="1" customWidth="1"/>
    <col min="8956" max="8956" width="7" style="370" customWidth="1"/>
    <col min="8957" max="8957" width="8.28515625" style="370" customWidth="1"/>
    <col min="8958" max="8958" width="7.28515625" style="370" customWidth="1"/>
    <col min="8959" max="8959" width="18.7109375" style="370" bestFit="1" customWidth="1"/>
    <col min="8960" max="8960" width="9.5703125" style="370" bestFit="1" customWidth="1"/>
    <col min="8961" max="8961" width="10.85546875" style="370" bestFit="1" customWidth="1"/>
    <col min="8962" max="8962" width="14.140625" style="370" bestFit="1" customWidth="1"/>
    <col min="8963" max="8963" width="20.5703125" style="370" bestFit="1" customWidth="1"/>
    <col min="8964" max="8972" width="11.140625" style="370" bestFit="1" customWidth="1"/>
    <col min="8973" max="8975" width="12.140625" style="370" bestFit="1" customWidth="1"/>
    <col min="8976" max="8976" width="10.85546875" style="370" bestFit="1" customWidth="1"/>
    <col min="8977" max="8977" width="11.42578125" style="370" bestFit="1" customWidth="1"/>
    <col min="8978" max="8978" width="12" style="370" bestFit="1" customWidth="1"/>
    <col min="8979" max="8979" width="17.140625" style="370" bestFit="1" customWidth="1"/>
    <col min="8980" max="8980" width="13.140625" style="370" bestFit="1" customWidth="1"/>
    <col min="8981" max="8981" width="14.7109375" style="370" bestFit="1" customWidth="1"/>
    <col min="8982" max="8982" width="26" style="370" bestFit="1" customWidth="1"/>
    <col min="8983" max="8983" width="18.140625" style="370" bestFit="1" customWidth="1"/>
    <col min="8984" max="8984" width="8.7109375" style="370" customWidth="1"/>
    <col min="8985" max="8985" width="10.140625" style="370" customWidth="1"/>
    <col min="8986" max="8986" width="18.7109375" style="370" customWidth="1"/>
    <col min="8987" max="8987" width="8" style="370" customWidth="1"/>
    <col min="8988" max="8988" width="19.42578125" style="370" bestFit="1" customWidth="1"/>
    <col min="8989" max="8989" width="16.140625" style="370" bestFit="1" customWidth="1"/>
    <col min="8990" max="8990" width="20.7109375" style="370" bestFit="1" customWidth="1"/>
    <col min="8991" max="8991" width="9.5703125" style="370" customWidth="1"/>
    <col min="8992" max="8992" width="12" style="370" bestFit="1" customWidth="1"/>
    <col min="8993" max="8993" width="27.140625" style="370" bestFit="1" customWidth="1"/>
    <col min="8994" max="8994" width="83.28515625" style="370" bestFit="1" customWidth="1"/>
    <col min="8995" max="8995" width="13" style="370" bestFit="1" customWidth="1"/>
    <col min="8996" max="8996" width="17.140625" style="370" bestFit="1" customWidth="1"/>
    <col min="8997" max="8997" width="18.5703125" style="370" bestFit="1" customWidth="1"/>
    <col min="8998" max="8998" width="20.7109375" style="370" bestFit="1" customWidth="1"/>
    <col min="8999" max="8999" width="20.5703125" style="370" bestFit="1" customWidth="1"/>
    <col min="9000" max="9000" width="22.140625" style="370" bestFit="1" customWidth="1"/>
    <col min="9001" max="9001" width="19.5703125" style="370" bestFit="1" customWidth="1"/>
    <col min="9002" max="9002" width="14.42578125" style="370" bestFit="1" customWidth="1"/>
    <col min="9003" max="9003" width="17" style="370" bestFit="1" customWidth="1"/>
    <col min="9004" max="9004" width="15.7109375" style="370" bestFit="1" customWidth="1"/>
    <col min="9005" max="9005" width="15.28515625" style="370" bestFit="1" customWidth="1"/>
    <col min="9006" max="9006" width="12.42578125" style="370" customWidth="1"/>
    <col min="9007" max="9007" width="13.42578125" style="370" bestFit="1" customWidth="1"/>
    <col min="9008" max="9208" width="9.140625" style="370"/>
    <col min="9209" max="9209" width="13" style="370" bestFit="1" customWidth="1"/>
    <col min="9210" max="9210" width="15.7109375" style="370" bestFit="1" customWidth="1"/>
    <col min="9211" max="9211" width="15.140625" style="370" bestFit="1" customWidth="1"/>
    <col min="9212" max="9212" width="7" style="370" customWidth="1"/>
    <col min="9213" max="9213" width="8.28515625" style="370" customWidth="1"/>
    <col min="9214" max="9214" width="7.28515625" style="370" customWidth="1"/>
    <col min="9215" max="9215" width="18.7109375" style="370" bestFit="1" customWidth="1"/>
    <col min="9216" max="9216" width="9.5703125" style="370" bestFit="1" customWidth="1"/>
    <col min="9217" max="9217" width="10.85546875" style="370" bestFit="1" customWidth="1"/>
    <col min="9218" max="9218" width="14.140625" style="370" bestFit="1" customWidth="1"/>
    <col min="9219" max="9219" width="20.5703125" style="370" bestFit="1" customWidth="1"/>
    <col min="9220" max="9228" width="11.140625" style="370" bestFit="1" customWidth="1"/>
    <col min="9229" max="9231" width="12.140625" style="370" bestFit="1" customWidth="1"/>
    <col min="9232" max="9232" width="10.85546875" style="370" bestFit="1" customWidth="1"/>
    <col min="9233" max="9233" width="11.42578125" style="370" bestFit="1" customWidth="1"/>
    <col min="9234" max="9234" width="12" style="370" bestFit="1" customWidth="1"/>
    <col min="9235" max="9235" width="17.140625" style="370" bestFit="1" customWidth="1"/>
    <col min="9236" max="9236" width="13.140625" style="370" bestFit="1" customWidth="1"/>
    <col min="9237" max="9237" width="14.7109375" style="370" bestFit="1" customWidth="1"/>
    <col min="9238" max="9238" width="26" style="370" bestFit="1" customWidth="1"/>
    <col min="9239" max="9239" width="18.140625" style="370" bestFit="1" customWidth="1"/>
    <col min="9240" max="9240" width="8.7109375" style="370" customWidth="1"/>
    <col min="9241" max="9241" width="10.140625" style="370" customWidth="1"/>
    <col min="9242" max="9242" width="18.7109375" style="370" customWidth="1"/>
    <col min="9243" max="9243" width="8" style="370" customWidth="1"/>
    <col min="9244" max="9244" width="19.42578125" style="370" bestFit="1" customWidth="1"/>
    <col min="9245" max="9245" width="16.140625" style="370" bestFit="1" customWidth="1"/>
    <col min="9246" max="9246" width="20.7109375" style="370" bestFit="1" customWidth="1"/>
    <col min="9247" max="9247" width="9.5703125" style="370" customWidth="1"/>
    <col min="9248" max="9248" width="12" style="370" bestFit="1" customWidth="1"/>
    <col min="9249" max="9249" width="27.140625" style="370" bestFit="1" customWidth="1"/>
    <col min="9250" max="9250" width="83.28515625" style="370" bestFit="1" customWidth="1"/>
    <col min="9251" max="9251" width="13" style="370" bestFit="1" customWidth="1"/>
    <col min="9252" max="9252" width="17.140625" style="370" bestFit="1" customWidth="1"/>
    <col min="9253" max="9253" width="18.5703125" style="370" bestFit="1" customWidth="1"/>
    <col min="9254" max="9254" width="20.7109375" style="370" bestFit="1" customWidth="1"/>
    <col min="9255" max="9255" width="20.5703125" style="370" bestFit="1" customWidth="1"/>
    <col min="9256" max="9256" width="22.140625" style="370" bestFit="1" customWidth="1"/>
    <col min="9257" max="9257" width="19.5703125" style="370" bestFit="1" customWidth="1"/>
    <col min="9258" max="9258" width="14.42578125" style="370" bestFit="1" customWidth="1"/>
    <col min="9259" max="9259" width="17" style="370" bestFit="1" customWidth="1"/>
    <col min="9260" max="9260" width="15.7109375" style="370" bestFit="1" customWidth="1"/>
    <col min="9261" max="9261" width="15.28515625" style="370" bestFit="1" customWidth="1"/>
    <col min="9262" max="9262" width="12.42578125" style="370" customWidth="1"/>
    <col min="9263" max="9263" width="13.42578125" style="370" bestFit="1" customWidth="1"/>
    <col min="9264" max="9464" width="9.140625" style="370"/>
    <col min="9465" max="9465" width="13" style="370" bestFit="1" customWidth="1"/>
    <col min="9466" max="9466" width="15.7109375" style="370" bestFit="1" customWidth="1"/>
    <col min="9467" max="9467" width="15.140625" style="370" bestFit="1" customWidth="1"/>
    <col min="9468" max="9468" width="7" style="370" customWidth="1"/>
    <col min="9469" max="9469" width="8.28515625" style="370" customWidth="1"/>
    <col min="9470" max="9470" width="7.28515625" style="370" customWidth="1"/>
    <col min="9471" max="9471" width="18.7109375" style="370" bestFit="1" customWidth="1"/>
    <col min="9472" max="9472" width="9.5703125" style="370" bestFit="1" customWidth="1"/>
    <col min="9473" max="9473" width="10.85546875" style="370" bestFit="1" customWidth="1"/>
    <col min="9474" max="9474" width="14.140625" style="370" bestFit="1" customWidth="1"/>
    <col min="9475" max="9475" width="20.5703125" style="370" bestFit="1" customWidth="1"/>
    <col min="9476" max="9484" width="11.140625" style="370" bestFit="1" customWidth="1"/>
    <col min="9485" max="9487" width="12.140625" style="370" bestFit="1" customWidth="1"/>
    <col min="9488" max="9488" width="10.85546875" style="370" bestFit="1" customWidth="1"/>
    <col min="9489" max="9489" width="11.42578125" style="370" bestFit="1" customWidth="1"/>
    <col min="9490" max="9490" width="12" style="370" bestFit="1" customWidth="1"/>
    <col min="9491" max="9491" width="17.140625" style="370" bestFit="1" customWidth="1"/>
    <col min="9492" max="9492" width="13.140625" style="370" bestFit="1" customWidth="1"/>
    <col min="9493" max="9493" width="14.7109375" style="370" bestFit="1" customWidth="1"/>
    <col min="9494" max="9494" width="26" style="370" bestFit="1" customWidth="1"/>
    <col min="9495" max="9495" width="18.140625" style="370" bestFit="1" customWidth="1"/>
    <col min="9496" max="9496" width="8.7109375" style="370" customWidth="1"/>
    <col min="9497" max="9497" width="10.140625" style="370" customWidth="1"/>
    <col min="9498" max="9498" width="18.7109375" style="370" customWidth="1"/>
    <col min="9499" max="9499" width="8" style="370" customWidth="1"/>
    <col min="9500" max="9500" width="19.42578125" style="370" bestFit="1" customWidth="1"/>
    <col min="9501" max="9501" width="16.140625" style="370" bestFit="1" customWidth="1"/>
    <col min="9502" max="9502" width="20.7109375" style="370" bestFit="1" customWidth="1"/>
    <col min="9503" max="9503" width="9.5703125" style="370" customWidth="1"/>
    <col min="9504" max="9504" width="12" style="370" bestFit="1" customWidth="1"/>
    <col min="9505" max="9505" width="27.140625" style="370" bestFit="1" customWidth="1"/>
    <col min="9506" max="9506" width="83.28515625" style="370" bestFit="1" customWidth="1"/>
    <col min="9507" max="9507" width="13" style="370" bestFit="1" customWidth="1"/>
    <col min="9508" max="9508" width="17.140625" style="370" bestFit="1" customWidth="1"/>
    <col min="9509" max="9509" width="18.5703125" style="370" bestFit="1" customWidth="1"/>
    <col min="9510" max="9510" width="20.7109375" style="370" bestFit="1" customWidth="1"/>
    <col min="9511" max="9511" width="20.5703125" style="370" bestFit="1" customWidth="1"/>
    <col min="9512" max="9512" width="22.140625" style="370" bestFit="1" customWidth="1"/>
    <col min="9513" max="9513" width="19.5703125" style="370" bestFit="1" customWidth="1"/>
    <col min="9514" max="9514" width="14.42578125" style="370" bestFit="1" customWidth="1"/>
    <col min="9515" max="9515" width="17" style="370" bestFit="1" customWidth="1"/>
    <col min="9516" max="9516" width="15.7109375" style="370" bestFit="1" customWidth="1"/>
    <col min="9517" max="9517" width="15.28515625" style="370" bestFit="1" customWidth="1"/>
    <col min="9518" max="9518" width="12.42578125" style="370" customWidth="1"/>
    <col min="9519" max="9519" width="13.42578125" style="370" bestFit="1" customWidth="1"/>
    <col min="9520" max="9720" width="9.140625" style="370"/>
    <col min="9721" max="9721" width="13" style="370" bestFit="1" customWidth="1"/>
    <col min="9722" max="9722" width="15.7109375" style="370" bestFit="1" customWidth="1"/>
    <col min="9723" max="9723" width="15.140625" style="370" bestFit="1" customWidth="1"/>
    <col min="9724" max="9724" width="7" style="370" customWidth="1"/>
    <col min="9725" max="9725" width="8.28515625" style="370" customWidth="1"/>
    <col min="9726" max="9726" width="7.28515625" style="370" customWidth="1"/>
    <col min="9727" max="9727" width="18.7109375" style="370" bestFit="1" customWidth="1"/>
    <col min="9728" max="9728" width="9.5703125" style="370" bestFit="1" customWidth="1"/>
    <col min="9729" max="9729" width="10.85546875" style="370" bestFit="1" customWidth="1"/>
    <col min="9730" max="9730" width="14.140625" style="370" bestFit="1" customWidth="1"/>
    <col min="9731" max="9731" width="20.5703125" style="370" bestFit="1" customWidth="1"/>
    <col min="9732" max="9740" width="11.140625" style="370" bestFit="1" customWidth="1"/>
    <col min="9741" max="9743" width="12.140625" style="370" bestFit="1" customWidth="1"/>
    <col min="9744" max="9744" width="10.85546875" style="370" bestFit="1" customWidth="1"/>
    <col min="9745" max="9745" width="11.42578125" style="370" bestFit="1" customWidth="1"/>
    <col min="9746" max="9746" width="12" style="370" bestFit="1" customWidth="1"/>
    <col min="9747" max="9747" width="17.140625" style="370" bestFit="1" customWidth="1"/>
    <col min="9748" max="9748" width="13.140625" style="370" bestFit="1" customWidth="1"/>
    <col min="9749" max="9749" width="14.7109375" style="370" bestFit="1" customWidth="1"/>
    <col min="9750" max="9750" width="26" style="370" bestFit="1" customWidth="1"/>
    <col min="9751" max="9751" width="18.140625" style="370" bestFit="1" customWidth="1"/>
    <col min="9752" max="9752" width="8.7109375" style="370" customWidth="1"/>
    <col min="9753" max="9753" width="10.140625" style="370" customWidth="1"/>
    <col min="9754" max="9754" width="18.7109375" style="370" customWidth="1"/>
    <col min="9755" max="9755" width="8" style="370" customWidth="1"/>
    <col min="9756" max="9756" width="19.42578125" style="370" bestFit="1" customWidth="1"/>
    <col min="9757" max="9757" width="16.140625" style="370" bestFit="1" customWidth="1"/>
    <col min="9758" max="9758" width="20.7109375" style="370" bestFit="1" customWidth="1"/>
    <col min="9759" max="9759" width="9.5703125" style="370" customWidth="1"/>
    <col min="9760" max="9760" width="12" style="370" bestFit="1" customWidth="1"/>
    <col min="9761" max="9761" width="27.140625" style="370" bestFit="1" customWidth="1"/>
    <col min="9762" max="9762" width="83.28515625" style="370" bestFit="1" customWidth="1"/>
    <col min="9763" max="9763" width="13" style="370" bestFit="1" customWidth="1"/>
    <col min="9764" max="9764" width="17.140625" style="370" bestFit="1" customWidth="1"/>
    <col min="9765" max="9765" width="18.5703125" style="370" bestFit="1" customWidth="1"/>
    <col min="9766" max="9766" width="20.7109375" style="370" bestFit="1" customWidth="1"/>
    <col min="9767" max="9767" width="20.5703125" style="370" bestFit="1" customWidth="1"/>
    <col min="9768" max="9768" width="22.140625" style="370" bestFit="1" customWidth="1"/>
    <col min="9769" max="9769" width="19.5703125" style="370" bestFit="1" customWidth="1"/>
    <col min="9770" max="9770" width="14.42578125" style="370" bestFit="1" customWidth="1"/>
    <col min="9771" max="9771" width="17" style="370" bestFit="1" customWidth="1"/>
    <col min="9772" max="9772" width="15.7109375" style="370" bestFit="1" customWidth="1"/>
    <col min="9773" max="9773" width="15.28515625" style="370" bestFit="1" customWidth="1"/>
    <col min="9774" max="9774" width="12.42578125" style="370" customWidth="1"/>
    <col min="9775" max="9775" width="13.42578125" style="370" bestFit="1" customWidth="1"/>
    <col min="9776" max="9976" width="9.140625" style="370"/>
    <col min="9977" max="9977" width="13" style="370" bestFit="1" customWidth="1"/>
    <col min="9978" max="9978" width="15.7109375" style="370" bestFit="1" customWidth="1"/>
    <col min="9979" max="9979" width="15.140625" style="370" bestFit="1" customWidth="1"/>
    <col min="9980" max="9980" width="7" style="370" customWidth="1"/>
    <col min="9981" max="9981" width="8.28515625" style="370" customWidth="1"/>
    <col min="9982" max="9982" width="7.28515625" style="370" customWidth="1"/>
    <col min="9983" max="9983" width="18.7109375" style="370" bestFit="1" customWidth="1"/>
    <col min="9984" max="9984" width="9.5703125" style="370" bestFit="1" customWidth="1"/>
    <col min="9985" max="9985" width="10.85546875" style="370" bestFit="1" customWidth="1"/>
    <col min="9986" max="9986" width="14.140625" style="370" bestFit="1" customWidth="1"/>
    <col min="9987" max="9987" width="20.5703125" style="370" bestFit="1" customWidth="1"/>
    <col min="9988" max="9996" width="11.140625" style="370" bestFit="1" customWidth="1"/>
    <col min="9997" max="9999" width="12.140625" style="370" bestFit="1" customWidth="1"/>
    <col min="10000" max="10000" width="10.85546875" style="370" bestFit="1" customWidth="1"/>
    <col min="10001" max="10001" width="11.42578125" style="370" bestFit="1" customWidth="1"/>
    <col min="10002" max="10002" width="12" style="370" bestFit="1" customWidth="1"/>
    <col min="10003" max="10003" width="17.140625" style="370" bestFit="1" customWidth="1"/>
    <col min="10004" max="10004" width="13.140625" style="370" bestFit="1" customWidth="1"/>
    <col min="10005" max="10005" width="14.7109375" style="370" bestFit="1" customWidth="1"/>
    <col min="10006" max="10006" width="26" style="370" bestFit="1" customWidth="1"/>
    <col min="10007" max="10007" width="18.140625" style="370" bestFit="1" customWidth="1"/>
    <col min="10008" max="10008" width="8.7109375" style="370" customWidth="1"/>
    <col min="10009" max="10009" width="10.140625" style="370" customWidth="1"/>
    <col min="10010" max="10010" width="18.7109375" style="370" customWidth="1"/>
    <col min="10011" max="10011" width="8" style="370" customWidth="1"/>
    <col min="10012" max="10012" width="19.42578125" style="370" bestFit="1" customWidth="1"/>
    <col min="10013" max="10013" width="16.140625" style="370" bestFit="1" customWidth="1"/>
    <col min="10014" max="10014" width="20.7109375" style="370" bestFit="1" customWidth="1"/>
    <col min="10015" max="10015" width="9.5703125" style="370" customWidth="1"/>
    <col min="10016" max="10016" width="12" style="370" bestFit="1" customWidth="1"/>
    <col min="10017" max="10017" width="27.140625" style="370" bestFit="1" customWidth="1"/>
    <col min="10018" max="10018" width="83.28515625" style="370" bestFit="1" customWidth="1"/>
    <col min="10019" max="10019" width="13" style="370" bestFit="1" customWidth="1"/>
    <col min="10020" max="10020" width="17.140625" style="370" bestFit="1" customWidth="1"/>
    <col min="10021" max="10021" width="18.5703125" style="370" bestFit="1" customWidth="1"/>
    <col min="10022" max="10022" width="20.7109375" style="370" bestFit="1" customWidth="1"/>
    <col min="10023" max="10023" width="20.5703125" style="370" bestFit="1" customWidth="1"/>
    <col min="10024" max="10024" width="22.140625" style="370" bestFit="1" customWidth="1"/>
    <col min="10025" max="10025" width="19.5703125" style="370" bestFit="1" customWidth="1"/>
    <col min="10026" max="10026" width="14.42578125" style="370" bestFit="1" customWidth="1"/>
    <col min="10027" max="10027" width="17" style="370" bestFit="1" customWidth="1"/>
    <col min="10028" max="10028" width="15.7109375" style="370" bestFit="1" customWidth="1"/>
    <col min="10029" max="10029" width="15.28515625" style="370" bestFit="1" customWidth="1"/>
    <col min="10030" max="10030" width="12.42578125" style="370" customWidth="1"/>
    <col min="10031" max="10031" width="13.42578125" style="370" bestFit="1" customWidth="1"/>
    <col min="10032" max="10232" width="9.140625" style="370"/>
    <col min="10233" max="10233" width="13" style="370" bestFit="1" customWidth="1"/>
    <col min="10234" max="10234" width="15.7109375" style="370" bestFit="1" customWidth="1"/>
    <col min="10235" max="10235" width="15.140625" style="370" bestFit="1" customWidth="1"/>
    <col min="10236" max="10236" width="7" style="370" customWidth="1"/>
    <col min="10237" max="10237" width="8.28515625" style="370" customWidth="1"/>
    <col min="10238" max="10238" width="7.28515625" style="370" customWidth="1"/>
    <col min="10239" max="10239" width="18.7109375" style="370" bestFit="1" customWidth="1"/>
    <col min="10240" max="10240" width="9.5703125" style="370" bestFit="1" customWidth="1"/>
    <col min="10241" max="10241" width="10.85546875" style="370" bestFit="1" customWidth="1"/>
    <col min="10242" max="10242" width="14.140625" style="370" bestFit="1" customWidth="1"/>
    <col min="10243" max="10243" width="20.5703125" style="370" bestFit="1" customWidth="1"/>
    <col min="10244" max="10252" width="11.140625" style="370" bestFit="1" customWidth="1"/>
    <col min="10253" max="10255" width="12.140625" style="370" bestFit="1" customWidth="1"/>
    <col min="10256" max="10256" width="10.85546875" style="370" bestFit="1" customWidth="1"/>
    <col min="10257" max="10257" width="11.42578125" style="370" bestFit="1" customWidth="1"/>
    <col min="10258" max="10258" width="12" style="370" bestFit="1" customWidth="1"/>
    <col min="10259" max="10259" width="17.140625" style="370" bestFit="1" customWidth="1"/>
    <col min="10260" max="10260" width="13.140625" style="370" bestFit="1" customWidth="1"/>
    <col min="10261" max="10261" width="14.7109375" style="370" bestFit="1" customWidth="1"/>
    <col min="10262" max="10262" width="26" style="370" bestFit="1" customWidth="1"/>
    <col min="10263" max="10263" width="18.140625" style="370" bestFit="1" customWidth="1"/>
    <col min="10264" max="10264" width="8.7109375" style="370" customWidth="1"/>
    <col min="10265" max="10265" width="10.140625" style="370" customWidth="1"/>
    <col min="10266" max="10266" width="18.7109375" style="370" customWidth="1"/>
    <col min="10267" max="10267" width="8" style="370" customWidth="1"/>
    <col min="10268" max="10268" width="19.42578125" style="370" bestFit="1" customWidth="1"/>
    <col min="10269" max="10269" width="16.140625" style="370" bestFit="1" customWidth="1"/>
    <col min="10270" max="10270" width="20.7109375" style="370" bestFit="1" customWidth="1"/>
    <col min="10271" max="10271" width="9.5703125" style="370" customWidth="1"/>
    <col min="10272" max="10272" width="12" style="370" bestFit="1" customWidth="1"/>
    <col min="10273" max="10273" width="27.140625" style="370" bestFit="1" customWidth="1"/>
    <col min="10274" max="10274" width="83.28515625" style="370" bestFit="1" customWidth="1"/>
    <col min="10275" max="10275" width="13" style="370" bestFit="1" customWidth="1"/>
    <col min="10276" max="10276" width="17.140625" style="370" bestFit="1" customWidth="1"/>
    <col min="10277" max="10277" width="18.5703125" style="370" bestFit="1" customWidth="1"/>
    <col min="10278" max="10278" width="20.7109375" style="370" bestFit="1" customWidth="1"/>
    <col min="10279" max="10279" width="20.5703125" style="370" bestFit="1" customWidth="1"/>
    <col min="10280" max="10280" width="22.140625" style="370" bestFit="1" customWidth="1"/>
    <col min="10281" max="10281" width="19.5703125" style="370" bestFit="1" customWidth="1"/>
    <col min="10282" max="10282" width="14.42578125" style="370" bestFit="1" customWidth="1"/>
    <col min="10283" max="10283" width="17" style="370" bestFit="1" customWidth="1"/>
    <col min="10284" max="10284" width="15.7109375" style="370" bestFit="1" customWidth="1"/>
    <col min="10285" max="10285" width="15.28515625" style="370" bestFit="1" customWidth="1"/>
    <col min="10286" max="10286" width="12.42578125" style="370" customWidth="1"/>
    <col min="10287" max="10287" width="13.42578125" style="370" bestFit="1" customWidth="1"/>
    <col min="10288" max="10488" width="9.140625" style="370"/>
    <col min="10489" max="10489" width="13" style="370" bestFit="1" customWidth="1"/>
    <col min="10490" max="10490" width="15.7109375" style="370" bestFit="1" customWidth="1"/>
    <col min="10491" max="10491" width="15.140625" style="370" bestFit="1" customWidth="1"/>
    <col min="10492" max="10492" width="7" style="370" customWidth="1"/>
    <col min="10493" max="10493" width="8.28515625" style="370" customWidth="1"/>
    <col min="10494" max="10494" width="7.28515625" style="370" customWidth="1"/>
    <col min="10495" max="10495" width="18.7109375" style="370" bestFit="1" customWidth="1"/>
    <col min="10496" max="10496" width="9.5703125" style="370" bestFit="1" customWidth="1"/>
    <col min="10497" max="10497" width="10.85546875" style="370" bestFit="1" customWidth="1"/>
    <col min="10498" max="10498" width="14.140625" style="370" bestFit="1" customWidth="1"/>
    <col min="10499" max="10499" width="20.5703125" style="370" bestFit="1" customWidth="1"/>
    <col min="10500" max="10508" width="11.140625" style="370" bestFit="1" customWidth="1"/>
    <col min="10509" max="10511" width="12.140625" style="370" bestFit="1" customWidth="1"/>
    <col min="10512" max="10512" width="10.85546875" style="370" bestFit="1" customWidth="1"/>
    <col min="10513" max="10513" width="11.42578125" style="370" bestFit="1" customWidth="1"/>
    <col min="10514" max="10514" width="12" style="370" bestFit="1" customWidth="1"/>
    <col min="10515" max="10515" width="17.140625" style="370" bestFit="1" customWidth="1"/>
    <col min="10516" max="10516" width="13.140625" style="370" bestFit="1" customWidth="1"/>
    <col min="10517" max="10517" width="14.7109375" style="370" bestFit="1" customWidth="1"/>
    <col min="10518" max="10518" width="26" style="370" bestFit="1" customWidth="1"/>
    <col min="10519" max="10519" width="18.140625" style="370" bestFit="1" customWidth="1"/>
    <col min="10520" max="10520" width="8.7109375" style="370" customWidth="1"/>
    <col min="10521" max="10521" width="10.140625" style="370" customWidth="1"/>
    <col min="10522" max="10522" width="18.7109375" style="370" customWidth="1"/>
    <col min="10523" max="10523" width="8" style="370" customWidth="1"/>
    <col min="10524" max="10524" width="19.42578125" style="370" bestFit="1" customWidth="1"/>
    <col min="10525" max="10525" width="16.140625" style="370" bestFit="1" customWidth="1"/>
    <col min="10526" max="10526" width="20.7109375" style="370" bestFit="1" customWidth="1"/>
    <col min="10527" max="10527" width="9.5703125" style="370" customWidth="1"/>
    <col min="10528" max="10528" width="12" style="370" bestFit="1" customWidth="1"/>
    <col min="10529" max="10529" width="27.140625" style="370" bestFit="1" customWidth="1"/>
    <col min="10530" max="10530" width="83.28515625" style="370" bestFit="1" customWidth="1"/>
    <col min="10531" max="10531" width="13" style="370" bestFit="1" customWidth="1"/>
    <col min="10532" max="10532" width="17.140625" style="370" bestFit="1" customWidth="1"/>
    <col min="10533" max="10533" width="18.5703125" style="370" bestFit="1" customWidth="1"/>
    <col min="10534" max="10534" width="20.7109375" style="370" bestFit="1" customWidth="1"/>
    <col min="10535" max="10535" width="20.5703125" style="370" bestFit="1" customWidth="1"/>
    <col min="10536" max="10536" width="22.140625" style="370" bestFit="1" customWidth="1"/>
    <col min="10537" max="10537" width="19.5703125" style="370" bestFit="1" customWidth="1"/>
    <col min="10538" max="10538" width="14.42578125" style="370" bestFit="1" customWidth="1"/>
    <col min="10539" max="10539" width="17" style="370" bestFit="1" customWidth="1"/>
    <col min="10540" max="10540" width="15.7109375" style="370" bestFit="1" customWidth="1"/>
    <col min="10541" max="10541" width="15.28515625" style="370" bestFit="1" customWidth="1"/>
    <col min="10542" max="10542" width="12.42578125" style="370" customWidth="1"/>
    <col min="10543" max="10543" width="13.42578125" style="370" bestFit="1" customWidth="1"/>
    <col min="10544" max="10744" width="9.140625" style="370"/>
    <col min="10745" max="10745" width="13" style="370" bestFit="1" customWidth="1"/>
    <col min="10746" max="10746" width="15.7109375" style="370" bestFit="1" customWidth="1"/>
    <col min="10747" max="10747" width="15.140625" style="370" bestFit="1" customWidth="1"/>
    <col min="10748" max="10748" width="7" style="370" customWidth="1"/>
    <col min="10749" max="10749" width="8.28515625" style="370" customWidth="1"/>
    <col min="10750" max="10750" width="7.28515625" style="370" customWidth="1"/>
    <col min="10751" max="10751" width="18.7109375" style="370" bestFit="1" customWidth="1"/>
    <col min="10752" max="10752" width="9.5703125" style="370" bestFit="1" customWidth="1"/>
    <col min="10753" max="10753" width="10.85546875" style="370" bestFit="1" customWidth="1"/>
    <col min="10754" max="10754" width="14.140625" style="370" bestFit="1" customWidth="1"/>
    <col min="10755" max="10755" width="20.5703125" style="370" bestFit="1" customWidth="1"/>
    <col min="10756" max="10764" width="11.140625" style="370" bestFit="1" customWidth="1"/>
    <col min="10765" max="10767" width="12.140625" style="370" bestFit="1" customWidth="1"/>
    <col min="10768" max="10768" width="10.85546875" style="370" bestFit="1" customWidth="1"/>
    <col min="10769" max="10769" width="11.42578125" style="370" bestFit="1" customWidth="1"/>
    <col min="10770" max="10770" width="12" style="370" bestFit="1" customWidth="1"/>
    <col min="10771" max="10771" width="17.140625" style="370" bestFit="1" customWidth="1"/>
    <col min="10772" max="10772" width="13.140625" style="370" bestFit="1" customWidth="1"/>
    <col min="10773" max="10773" width="14.7109375" style="370" bestFit="1" customWidth="1"/>
    <col min="10774" max="10774" width="26" style="370" bestFit="1" customWidth="1"/>
    <col min="10775" max="10775" width="18.140625" style="370" bestFit="1" customWidth="1"/>
    <col min="10776" max="10776" width="8.7109375" style="370" customWidth="1"/>
    <col min="10777" max="10777" width="10.140625" style="370" customWidth="1"/>
    <col min="10778" max="10778" width="18.7109375" style="370" customWidth="1"/>
    <col min="10779" max="10779" width="8" style="370" customWidth="1"/>
    <col min="10780" max="10780" width="19.42578125" style="370" bestFit="1" customWidth="1"/>
    <col min="10781" max="10781" width="16.140625" style="370" bestFit="1" customWidth="1"/>
    <col min="10782" max="10782" width="20.7109375" style="370" bestFit="1" customWidth="1"/>
    <col min="10783" max="10783" width="9.5703125" style="370" customWidth="1"/>
    <col min="10784" max="10784" width="12" style="370" bestFit="1" customWidth="1"/>
    <col min="10785" max="10785" width="27.140625" style="370" bestFit="1" customWidth="1"/>
    <col min="10786" max="10786" width="83.28515625" style="370" bestFit="1" customWidth="1"/>
    <col min="10787" max="10787" width="13" style="370" bestFit="1" customWidth="1"/>
    <col min="10788" max="10788" width="17.140625" style="370" bestFit="1" customWidth="1"/>
    <col min="10789" max="10789" width="18.5703125" style="370" bestFit="1" customWidth="1"/>
    <col min="10790" max="10790" width="20.7109375" style="370" bestFit="1" customWidth="1"/>
    <col min="10791" max="10791" width="20.5703125" style="370" bestFit="1" customWidth="1"/>
    <col min="10792" max="10792" width="22.140625" style="370" bestFit="1" customWidth="1"/>
    <col min="10793" max="10793" width="19.5703125" style="370" bestFit="1" customWidth="1"/>
    <col min="10794" max="10794" width="14.42578125" style="370" bestFit="1" customWidth="1"/>
    <col min="10795" max="10795" width="17" style="370" bestFit="1" customWidth="1"/>
    <col min="10796" max="10796" width="15.7109375" style="370" bestFit="1" customWidth="1"/>
    <col min="10797" max="10797" width="15.28515625" style="370" bestFit="1" customWidth="1"/>
    <col min="10798" max="10798" width="12.42578125" style="370" customWidth="1"/>
    <col min="10799" max="10799" width="13.42578125" style="370" bestFit="1" customWidth="1"/>
    <col min="10800" max="11000" width="9.140625" style="370"/>
    <col min="11001" max="11001" width="13" style="370" bestFit="1" customWidth="1"/>
    <col min="11002" max="11002" width="15.7109375" style="370" bestFit="1" customWidth="1"/>
    <col min="11003" max="11003" width="15.140625" style="370" bestFit="1" customWidth="1"/>
    <col min="11004" max="11004" width="7" style="370" customWidth="1"/>
    <col min="11005" max="11005" width="8.28515625" style="370" customWidth="1"/>
    <col min="11006" max="11006" width="7.28515625" style="370" customWidth="1"/>
    <col min="11007" max="11007" width="18.7109375" style="370" bestFit="1" customWidth="1"/>
    <col min="11008" max="11008" width="9.5703125" style="370" bestFit="1" customWidth="1"/>
    <col min="11009" max="11009" width="10.85546875" style="370" bestFit="1" customWidth="1"/>
    <col min="11010" max="11010" width="14.140625" style="370" bestFit="1" customWidth="1"/>
    <col min="11011" max="11011" width="20.5703125" style="370" bestFit="1" customWidth="1"/>
    <col min="11012" max="11020" width="11.140625" style="370" bestFit="1" customWidth="1"/>
    <col min="11021" max="11023" width="12.140625" style="370" bestFit="1" customWidth="1"/>
    <col min="11024" max="11024" width="10.85546875" style="370" bestFit="1" customWidth="1"/>
    <col min="11025" max="11025" width="11.42578125" style="370" bestFit="1" customWidth="1"/>
    <col min="11026" max="11026" width="12" style="370" bestFit="1" customWidth="1"/>
    <col min="11027" max="11027" width="17.140625" style="370" bestFit="1" customWidth="1"/>
    <col min="11028" max="11028" width="13.140625" style="370" bestFit="1" customWidth="1"/>
    <col min="11029" max="11029" width="14.7109375" style="370" bestFit="1" customWidth="1"/>
    <col min="11030" max="11030" width="26" style="370" bestFit="1" customWidth="1"/>
    <col min="11031" max="11031" width="18.140625" style="370" bestFit="1" customWidth="1"/>
    <col min="11032" max="11032" width="8.7109375" style="370" customWidth="1"/>
    <col min="11033" max="11033" width="10.140625" style="370" customWidth="1"/>
    <col min="11034" max="11034" width="18.7109375" style="370" customWidth="1"/>
    <col min="11035" max="11035" width="8" style="370" customWidth="1"/>
    <col min="11036" max="11036" width="19.42578125" style="370" bestFit="1" customWidth="1"/>
    <col min="11037" max="11037" width="16.140625" style="370" bestFit="1" customWidth="1"/>
    <col min="11038" max="11038" width="20.7109375" style="370" bestFit="1" customWidth="1"/>
    <col min="11039" max="11039" width="9.5703125" style="370" customWidth="1"/>
    <col min="11040" max="11040" width="12" style="370" bestFit="1" customWidth="1"/>
    <col min="11041" max="11041" width="27.140625" style="370" bestFit="1" customWidth="1"/>
    <col min="11042" max="11042" width="83.28515625" style="370" bestFit="1" customWidth="1"/>
    <col min="11043" max="11043" width="13" style="370" bestFit="1" customWidth="1"/>
    <col min="11044" max="11044" width="17.140625" style="370" bestFit="1" customWidth="1"/>
    <col min="11045" max="11045" width="18.5703125" style="370" bestFit="1" customWidth="1"/>
    <col min="11046" max="11046" width="20.7109375" style="370" bestFit="1" customWidth="1"/>
    <col min="11047" max="11047" width="20.5703125" style="370" bestFit="1" customWidth="1"/>
    <col min="11048" max="11048" width="22.140625" style="370" bestFit="1" customWidth="1"/>
    <col min="11049" max="11049" width="19.5703125" style="370" bestFit="1" customWidth="1"/>
    <col min="11050" max="11050" width="14.42578125" style="370" bestFit="1" customWidth="1"/>
    <col min="11051" max="11051" width="17" style="370" bestFit="1" customWidth="1"/>
    <col min="11052" max="11052" width="15.7109375" style="370" bestFit="1" customWidth="1"/>
    <col min="11053" max="11053" width="15.28515625" style="370" bestFit="1" customWidth="1"/>
    <col min="11054" max="11054" width="12.42578125" style="370" customWidth="1"/>
    <col min="11055" max="11055" width="13.42578125" style="370" bestFit="1" customWidth="1"/>
    <col min="11056" max="11256" width="9.140625" style="370"/>
    <col min="11257" max="11257" width="13" style="370" bestFit="1" customWidth="1"/>
    <col min="11258" max="11258" width="15.7109375" style="370" bestFit="1" customWidth="1"/>
    <col min="11259" max="11259" width="15.140625" style="370" bestFit="1" customWidth="1"/>
    <col min="11260" max="11260" width="7" style="370" customWidth="1"/>
    <col min="11261" max="11261" width="8.28515625" style="370" customWidth="1"/>
    <col min="11262" max="11262" width="7.28515625" style="370" customWidth="1"/>
    <col min="11263" max="11263" width="18.7109375" style="370" bestFit="1" customWidth="1"/>
    <col min="11264" max="11264" width="9.5703125" style="370" bestFit="1" customWidth="1"/>
    <col min="11265" max="11265" width="10.85546875" style="370" bestFit="1" customWidth="1"/>
    <col min="11266" max="11266" width="14.140625" style="370" bestFit="1" customWidth="1"/>
    <col min="11267" max="11267" width="20.5703125" style="370" bestFit="1" customWidth="1"/>
    <col min="11268" max="11276" width="11.140625" style="370" bestFit="1" customWidth="1"/>
    <col min="11277" max="11279" width="12.140625" style="370" bestFit="1" customWidth="1"/>
    <col min="11280" max="11280" width="10.85546875" style="370" bestFit="1" customWidth="1"/>
    <col min="11281" max="11281" width="11.42578125" style="370" bestFit="1" customWidth="1"/>
    <col min="11282" max="11282" width="12" style="370" bestFit="1" customWidth="1"/>
    <col min="11283" max="11283" width="17.140625" style="370" bestFit="1" customWidth="1"/>
    <col min="11284" max="11284" width="13.140625" style="370" bestFit="1" customWidth="1"/>
    <col min="11285" max="11285" width="14.7109375" style="370" bestFit="1" customWidth="1"/>
    <col min="11286" max="11286" width="26" style="370" bestFit="1" customWidth="1"/>
    <col min="11287" max="11287" width="18.140625" style="370" bestFit="1" customWidth="1"/>
    <col min="11288" max="11288" width="8.7109375" style="370" customWidth="1"/>
    <col min="11289" max="11289" width="10.140625" style="370" customWidth="1"/>
    <col min="11290" max="11290" width="18.7109375" style="370" customWidth="1"/>
    <col min="11291" max="11291" width="8" style="370" customWidth="1"/>
    <col min="11292" max="11292" width="19.42578125" style="370" bestFit="1" customWidth="1"/>
    <col min="11293" max="11293" width="16.140625" style="370" bestFit="1" customWidth="1"/>
    <col min="11294" max="11294" width="20.7109375" style="370" bestFit="1" customWidth="1"/>
    <col min="11295" max="11295" width="9.5703125" style="370" customWidth="1"/>
    <col min="11296" max="11296" width="12" style="370" bestFit="1" customWidth="1"/>
    <col min="11297" max="11297" width="27.140625" style="370" bestFit="1" customWidth="1"/>
    <col min="11298" max="11298" width="83.28515625" style="370" bestFit="1" customWidth="1"/>
    <col min="11299" max="11299" width="13" style="370" bestFit="1" customWidth="1"/>
    <col min="11300" max="11300" width="17.140625" style="370" bestFit="1" customWidth="1"/>
    <col min="11301" max="11301" width="18.5703125" style="370" bestFit="1" customWidth="1"/>
    <col min="11302" max="11302" width="20.7109375" style="370" bestFit="1" customWidth="1"/>
    <col min="11303" max="11303" width="20.5703125" style="370" bestFit="1" customWidth="1"/>
    <col min="11304" max="11304" width="22.140625" style="370" bestFit="1" customWidth="1"/>
    <col min="11305" max="11305" width="19.5703125" style="370" bestFit="1" customWidth="1"/>
    <col min="11306" max="11306" width="14.42578125" style="370" bestFit="1" customWidth="1"/>
    <col min="11307" max="11307" width="17" style="370" bestFit="1" customWidth="1"/>
    <col min="11308" max="11308" width="15.7109375" style="370" bestFit="1" customWidth="1"/>
    <col min="11309" max="11309" width="15.28515625" style="370" bestFit="1" customWidth="1"/>
    <col min="11310" max="11310" width="12.42578125" style="370" customWidth="1"/>
    <col min="11311" max="11311" width="13.42578125" style="370" bestFit="1" customWidth="1"/>
    <col min="11312" max="11512" width="9.140625" style="370"/>
    <col min="11513" max="11513" width="13" style="370" bestFit="1" customWidth="1"/>
    <col min="11514" max="11514" width="15.7109375" style="370" bestFit="1" customWidth="1"/>
    <col min="11515" max="11515" width="15.140625" style="370" bestFit="1" customWidth="1"/>
    <col min="11516" max="11516" width="7" style="370" customWidth="1"/>
    <col min="11517" max="11517" width="8.28515625" style="370" customWidth="1"/>
    <col min="11518" max="11518" width="7.28515625" style="370" customWidth="1"/>
    <col min="11519" max="11519" width="18.7109375" style="370" bestFit="1" customWidth="1"/>
    <col min="11520" max="11520" width="9.5703125" style="370" bestFit="1" customWidth="1"/>
    <col min="11521" max="11521" width="10.85546875" style="370" bestFit="1" customWidth="1"/>
    <col min="11522" max="11522" width="14.140625" style="370" bestFit="1" customWidth="1"/>
    <col min="11523" max="11523" width="20.5703125" style="370" bestFit="1" customWidth="1"/>
    <col min="11524" max="11532" width="11.140625" style="370" bestFit="1" customWidth="1"/>
    <col min="11533" max="11535" width="12.140625" style="370" bestFit="1" customWidth="1"/>
    <col min="11536" max="11536" width="10.85546875" style="370" bestFit="1" customWidth="1"/>
    <col min="11537" max="11537" width="11.42578125" style="370" bestFit="1" customWidth="1"/>
    <col min="11538" max="11538" width="12" style="370" bestFit="1" customWidth="1"/>
    <col min="11539" max="11539" width="17.140625" style="370" bestFit="1" customWidth="1"/>
    <col min="11540" max="11540" width="13.140625" style="370" bestFit="1" customWidth="1"/>
    <col min="11541" max="11541" width="14.7109375" style="370" bestFit="1" customWidth="1"/>
    <col min="11542" max="11542" width="26" style="370" bestFit="1" customWidth="1"/>
    <col min="11543" max="11543" width="18.140625" style="370" bestFit="1" customWidth="1"/>
    <col min="11544" max="11544" width="8.7109375" style="370" customWidth="1"/>
    <col min="11545" max="11545" width="10.140625" style="370" customWidth="1"/>
    <col min="11546" max="11546" width="18.7109375" style="370" customWidth="1"/>
    <col min="11547" max="11547" width="8" style="370" customWidth="1"/>
    <col min="11548" max="11548" width="19.42578125" style="370" bestFit="1" customWidth="1"/>
    <col min="11549" max="11549" width="16.140625" style="370" bestFit="1" customWidth="1"/>
    <col min="11550" max="11550" width="20.7109375" style="370" bestFit="1" customWidth="1"/>
    <col min="11551" max="11551" width="9.5703125" style="370" customWidth="1"/>
    <col min="11552" max="11552" width="12" style="370" bestFit="1" customWidth="1"/>
    <col min="11553" max="11553" width="27.140625" style="370" bestFit="1" customWidth="1"/>
    <col min="11554" max="11554" width="83.28515625" style="370" bestFit="1" customWidth="1"/>
    <col min="11555" max="11555" width="13" style="370" bestFit="1" customWidth="1"/>
    <col min="11556" max="11556" width="17.140625" style="370" bestFit="1" customWidth="1"/>
    <col min="11557" max="11557" width="18.5703125" style="370" bestFit="1" customWidth="1"/>
    <col min="11558" max="11558" width="20.7109375" style="370" bestFit="1" customWidth="1"/>
    <col min="11559" max="11559" width="20.5703125" style="370" bestFit="1" customWidth="1"/>
    <col min="11560" max="11560" width="22.140625" style="370" bestFit="1" customWidth="1"/>
    <col min="11561" max="11561" width="19.5703125" style="370" bestFit="1" customWidth="1"/>
    <col min="11562" max="11562" width="14.42578125" style="370" bestFit="1" customWidth="1"/>
    <col min="11563" max="11563" width="17" style="370" bestFit="1" customWidth="1"/>
    <col min="11564" max="11564" width="15.7109375" style="370" bestFit="1" customWidth="1"/>
    <col min="11565" max="11565" width="15.28515625" style="370" bestFit="1" customWidth="1"/>
    <col min="11566" max="11566" width="12.42578125" style="370" customWidth="1"/>
    <col min="11567" max="11567" width="13.42578125" style="370" bestFit="1" customWidth="1"/>
    <col min="11568" max="11768" width="9.140625" style="370"/>
    <col min="11769" max="11769" width="13" style="370" bestFit="1" customWidth="1"/>
    <col min="11770" max="11770" width="15.7109375" style="370" bestFit="1" customWidth="1"/>
    <col min="11771" max="11771" width="15.140625" style="370" bestFit="1" customWidth="1"/>
    <col min="11772" max="11772" width="7" style="370" customWidth="1"/>
    <col min="11773" max="11773" width="8.28515625" style="370" customWidth="1"/>
    <col min="11774" max="11774" width="7.28515625" style="370" customWidth="1"/>
    <col min="11775" max="11775" width="18.7109375" style="370" bestFit="1" customWidth="1"/>
    <col min="11776" max="11776" width="9.5703125" style="370" bestFit="1" customWidth="1"/>
    <col min="11777" max="11777" width="10.85546875" style="370" bestFit="1" customWidth="1"/>
    <col min="11778" max="11778" width="14.140625" style="370" bestFit="1" customWidth="1"/>
    <col min="11779" max="11779" width="20.5703125" style="370" bestFit="1" customWidth="1"/>
    <col min="11780" max="11788" width="11.140625" style="370" bestFit="1" customWidth="1"/>
    <col min="11789" max="11791" width="12.140625" style="370" bestFit="1" customWidth="1"/>
    <col min="11792" max="11792" width="10.85546875" style="370" bestFit="1" customWidth="1"/>
    <col min="11793" max="11793" width="11.42578125" style="370" bestFit="1" customWidth="1"/>
    <col min="11794" max="11794" width="12" style="370" bestFit="1" customWidth="1"/>
    <col min="11795" max="11795" width="17.140625" style="370" bestFit="1" customWidth="1"/>
    <col min="11796" max="11796" width="13.140625" style="370" bestFit="1" customWidth="1"/>
    <col min="11797" max="11797" width="14.7109375" style="370" bestFit="1" customWidth="1"/>
    <col min="11798" max="11798" width="26" style="370" bestFit="1" customWidth="1"/>
    <col min="11799" max="11799" width="18.140625" style="370" bestFit="1" customWidth="1"/>
    <col min="11800" max="11800" width="8.7109375" style="370" customWidth="1"/>
    <col min="11801" max="11801" width="10.140625" style="370" customWidth="1"/>
    <col min="11802" max="11802" width="18.7109375" style="370" customWidth="1"/>
    <col min="11803" max="11803" width="8" style="370" customWidth="1"/>
    <col min="11804" max="11804" width="19.42578125" style="370" bestFit="1" customWidth="1"/>
    <col min="11805" max="11805" width="16.140625" style="370" bestFit="1" customWidth="1"/>
    <col min="11806" max="11806" width="20.7109375" style="370" bestFit="1" customWidth="1"/>
    <col min="11807" max="11807" width="9.5703125" style="370" customWidth="1"/>
    <col min="11808" max="11808" width="12" style="370" bestFit="1" customWidth="1"/>
    <col min="11809" max="11809" width="27.140625" style="370" bestFit="1" customWidth="1"/>
    <col min="11810" max="11810" width="83.28515625" style="370" bestFit="1" customWidth="1"/>
    <col min="11811" max="11811" width="13" style="370" bestFit="1" customWidth="1"/>
    <col min="11812" max="11812" width="17.140625" style="370" bestFit="1" customWidth="1"/>
    <col min="11813" max="11813" width="18.5703125" style="370" bestFit="1" customWidth="1"/>
    <col min="11814" max="11814" width="20.7109375" style="370" bestFit="1" customWidth="1"/>
    <col min="11815" max="11815" width="20.5703125" style="370" bestFit="1" customWidth="1"/>
    <col min="11816" max="11816" width="22.140625" style="370" bestFit="1" customWidth="1"/>
    <col min="11817" max="11817" width="19.5703125" style="370" bestFit="1" customWidth="1"/>
    <col min="11818" max="11818" width="14.42578125" style="370" bestFit="1" customWidth="1"/>
    <col min="11819" max="11819" width="17" style="370" bestFit="1" customWidth="1"/>
    <col min="11820" max="11820" width="15.7109375" style="370" bestFit="1" customWidth="1"/>
    <col min="11821" max="11821" width="15.28515625" style="370" bestFit="1" customWidth="1"/>
    <col min="11822" max="11822" width="12.42578125" style="370" customWidth="1"/>
    <col min="11823" max="11823" width="13.42578125" style="370" bestFit="1" customWidth="1"/>
    <col min="11824" max="12024" width="9.140625" style="370"/>
    <col min="12025" max="12025" width="13" style="370" bestFit="1" customWidth="1"/>
    <col min="12026" max="12026" width="15.7109375" style="370" bestFit="1" customWidth="1"/>
    <col min="12027" max="12027" width="15.140625" style="370" bestFit="1" customWidth="1"/>
    <col min="12028" max="12028" width="7" style="370" customWidth="1"/>
    <col min="12029" max="12029" width="8.28515625" style="370" customWidth="1"/>
    <col min="12030" max="12030" width="7.28515625" style="370" customWidth="1"/>
    <col min="12031" max="12031" width="18.7109375" style="370" bestFit="1" customWidth="1"/>
    <col min="12032" max="12032" width="9.5703125" style="370" bestFit="1" customWidth="1"/>
    <col min="12033" max="12033" width="10.85546875" style="370" bestFit="1" customWidth="1"/>
    <col min="12034" max="12034" width="14.140625" style="370" bestFit="1" customWidth="1"/>
    <col min="12035" max="12035" width="20.5703125" style="370" bestFit="1" customWidth="1"/>
    <col min="12036" max="12044" width="11.140625" style="370" bestFit="1" customWidth="1"/>
    <col min="12045" max="12047" width="12.140625" style="370" bestFit="1" customWidth="1"/>
    <col min="12048" max="12048" width="10.85546875" style="370" bestFit="1" customWidth="1"/>
    <col min="12049" max="12049" width="11.42578125" style="370" bestFit="1" customWidth="1"/>
    <col min="12050" max="12050" width="12" style="370" bestFit="1" customWidth="1"/>
    <col min="12051" max="12051" width="17.140625" style="370" bestFit="1" customWidth="1"/>
    <col min="12052" max="12052" width="13.140625" style="370" bestFit="1" customWidth="1"/>
    <col min="12053" max="12053" width="14.7109375" style="370" bestFit="1" customWidth="1"/>
    <col min="12054" max="12054" width="26" style="370" bestFit="1" customWidth="1"/>
    <col min="12055" max="12055" width="18.140625" style="370" bestFit="1" customWidth="1"/>
    <col min="12056" max="12056" width="8.7109375" style="370" customWidth="1"/>
    <col min="12057" max="12057" width="10.140625" style="370" customWidth="1"/>
    <col min="12058" max="12058" width="18.7109375" style="370" customWidth="1"/>
    <col min="12059" max="12059" width="8" style="370" customWidth="1"/>
    <col min="12060" max="12060" width="19.42578125" style="370" bestFit="1" customWidth="1"/>
    <col min="12061" max="12061" width="16.140625" style="370" bestFit="1" customWidth="1"/>
    <col min="12062" max="12062" width="20.7109375" style="370" bestFit="1" customWidth="1"/>
    <col min="12063" max="12063" width="9.5703125" style="370" customWidth="1"/>
    <col min="12064" max="12064" width="12" style="370" bestFit="1" customWidth="1"/>
    <col min="12065" max="12065" width="27.140625" style="370" bestFit="1" customWidth="1"/>
    <col min="12066" max="12066" width="83.28515625" style="370" bestFit="1" customWidth="1"/>
    <col min="12067" max="12067" width="13" style="370" bestFit="1" customWidth="1"/>
    <col min="12068" max="12068" width="17.140625" style="370" bestFit="1" customWidth="1"/>
    <col min="12069" max="12069" width="18.5703125" style="370" bestFit="1" customWidth="1"/>
    <col min="12070" max="12070" width="20.7109375" style="370" bestFit="1" customWidth="1"/>
    <col min="12071" max="12071" width="20.5703125" style="370" bestFit="1" customWidth="1"/>
    <col min="12072" max="12072" width="22.140625" style="370" bestFit="1" customWidth="1"/>
    <col min="12073" max="12073" width="19.5703125" style="370" bestFit="1" customWidth="1"/>
    <col min="12074" max="12074" width="14.42578125" style="370" bestFit="1" customWidth="1"/>
    <col min="12075" max="12075" width="17" style="370" bestFit="1" customWidth="1"/>
    <col min="12076" max="12076" width="15.7109375" style="370" bestFit="1" customWidth="1"/>
    <col min="12077" max="12077" width="15.28515625" style="370" bestFit="1" customWidth="1"/>
    <col min="12078" max="12078" width="12.42578125" style="370" customWidth="1"/>
    <col min="12079" max="12079" width="13.42578125" style="370" bestFit="1" customWidth="1"/>
    <col min="12080" max="12280" width="9.140625" style="370"/>
    <col min="12281" max="12281" width="13" style="370" bestFit="1" customWidth="1"/>
    <col min="12282" max="12282" width="15.7109375" style="370" bestFit="1" customWidth="1"/>
    <col min="12283" max="12283" width="15.140625" style="370" bestFit="1" customWidth="1"/>
    <col min="12284" max="12284" width="7" style="370" customWidth="1"/>
    <col min="12285" max="12285" width="8.28515625" style="370" customWidth="1"/>
    <col min="12286" max="12286" width="7.28515625" style="370" customWidth="1"/>
    <col min="12287" max="12287" width="18.7109375" style="370" bestFit="1" customWidth="1"/>
    <col min="12288" max="12288" width="9.5703125" style="370" bestFit="1" customWidth="1"/>
    <col min="12289" max="12289" width="10.85546875" style="370" bestFit="1" customWidth="1"/>
    <col min="12290" max="12290" width="14.140625" style="370" bestFit="1" customWidth="1"/>
    <col min="12291" max="12291" width="20.5703125" style="370" bestFit="1" customWidth="1"/>
    <col min="12292" max="12300" width="11.140625" style="370" bestFit="1" customWidth="1"/>
    <col min="12301" max="12303" width="12.140625" style="370" bestFit="1" customWidth="1"/>
    <col min="12304" max="12304" width="10.85546875" style="370" bestFit="1" customWidth="1"/>
    <col min="12305" max="12305" width="11.42578125" style="370" bestFit="1" customWidth="1"/>
    <col min="12306" max="12306" width="12" style="370" bestFit="1" customWidth="1"/>
    <col min="12307" max="12307" width="17.140625" style="370" bestFit="1" customWidth="1"/>
    <col min="12308" max="12308" width="13.140625" style="370" bestFit="1" customWidth="1"/>
    <col min="12309" max="12309" width="14.7109375" style="370" bestFit="1" customWidth="1"/>
    <col min="12310" max="12310" width="26" style="370" bestFit="1" customWidth="1"/>
    <col min="12311" max="12311" width="18.140625" style="370" bestFit="1" customWidth="1"/>
    <col min="12312" max="12312" width="8.7109375" style="370" customWidth="1"/>
    <col min="12313" max="12313" width="10.140625" style="370" customWidth="1"/>
    <col min="12314" max="12314" width="18.7109375" style="370" customWidth="1"/>
    <col min="12315" max="12315" width="8" style="370" customWidth="1"/>
    <col min="12316" max="12316" width="19.42578125" style="370" bestFit="1" customWidth="1"/>
    <col min="12317" max="12317" width="16.140625" style="370" bestFit="1" customWidth="1"/>
    <col min="12318" max="12318" width="20.7109375" style="370" bestFit="1" customWidth="1"/>
    <col min="12319" max="12319" width="9.5703125" style="370" customWidth="1"/>
    <col min="12320" max="12320" width="12" style="370" bestFit="1" customWidth="1"/>
    <col min="12321" max="12321" width="27.140625" style="370" bestFit="1" customWidth="1"/>
    <col min="12322" max="12322" width="83.28515625" style="370" bestFit="1" customWidth="1"/>
    <col min="12323" max="12323" width="13" style="370" bestFit="1" customWidth="1"/>
    <col min="12324" max="12324" width="17.140625" style="370" bestFit="1" customWidth="1"/>
    <col min="12325" max="12325" width="18.5703125" style="370" bestFit="1" customWidth="1"/>
    <col min="12326" max="12326" width="20.7109375" style="370" bestFit="1" customWidth="1"/>
    <col min="12327" max="12327" width="20.5703125" style="370" bestFit="1" customWidth="1"/>
    <col min="12328" max="12328" width="22.140625" style="370" bestFit="1" customWidth="1"/>
    <col min="12329" max="12329" width="19.5703125" style="370" bestFit="1" customWidth="1"/>
    <col min="12330" max="12330" width="14.42578125" style="370" bestFit="1" customWidth="1"/>
    <col min="12331" max="12331" width="17" style="370" bestFit="1" customWidth="1"/>
    <col min="12332" max="12332" width="15.7109375" style="370" bestFit="1" customWidth="1"/>
    <col min="12333" max="12333" width="15.28515625" style="370" bestFit="1" customWidth="1"/>
    <col min="12334" max="12334" width="12.42578125" style="370" customWidth="1"/>
    <col min="12335" max="12335" width="13.42578125" style="370" bestFit="1" customWidth="1"/>
    <col min="12336" max="12536" width="9.140625" style="370"/>
    <col min="12537" max="12537" width="13" style="370" bestFit="1" customWidth="1"/>
    <col min="12538" max="12538" width="15.7109375" style="370" bestFit="1" customWidth="1"/>
    <col min="12539" max="12539" width="15.140625" style="370" bestFit="1" customWidth="1"/>
    <col min="12540" max="12540" width="7" style="370" customWidth="1"/>
    <col min="12541" max="12541" width="8.28515625" style="370" customWidth="1"/>
    <col min="12542" max="12542" width="7.28515625" style="370" customWidth="1"/>
    <col min="12543" max="12543" width="18.7109375" style="370" bestFit="1" customWidth="1"/>
    <col min="12544" max="12544" width="9.5703125" style="370" bestFit="1" customWidth="1"/>
    <col min="12545" max="12545" width="10.85546875" style="370" bestFit="1" customWidth="1"/>
    <col min="12546" max="12546" width="14.140625" style="370" bestFit="1" customWidth="1"/>
    <col min="12547" max="12547" width="20.5703125" style="370" bestFit="1" customWidth="1"/>
    <col min="12548" max="12556" width="11.140625" style="370" bestFit="1" customWidth="1"/>
    <col min="12557" max="12559" width="12.140625" style="370" bestFit="1" customWidth="1"/>
    <col min="12560" max="12560" width="10.85546875" style="370" bestFit="1" customWidth="1"/>
    <col min="12561" max="12561" width="11.42578125" style="370" bestFit="1" customWidth="1"/>
    <col min="12562" max="12562" width="12" style="370" bestFit="1" customWidth="1"/>
    <col min="12563" max="12563" width="17.140625" style="370" bestFit="1" customWidth="1"/>
    <col min="12564" max="12564" width="13.140625" style="370" bestFit="1" customWidth="1"/>
    <col min="12565" max="12565" width="14.7109375" style="370" bestFit="1" customWidth="1"/>
    <col min="12566" max="12566" width="26" style="370" bestFit="1" customWidth="1"/>
    <col min="12567" max="12567" width="18.140625" style="370" bestFit="1" customWidth="1"/>
    <col min="12568" max="12568" width="8.7109375" style="370" customWidth="1"/>
    <col min="12569" max="12569" width="10.140625" style="370" customWidth="1"/>
    <col min="12570" max="12570" width="18.7109375" style="370" customWidth="1"/>
    <col min="12571" max="12571" width="8" style="370" customWidth="1"/>
    <col min="12572" max="12572" width="19.42578125" style="370" bestFit="1" customWidth="1"/>
    <col min="12573" max="12573" width="16.140625" style="370" bestFit="1" customWidth="1"/>
    <col min="12574" max="12574" width="20.7109375" style="370" bestFit="1" customWidth="1"/>
    <col min="12575" max="12575" width="9.5703125" style="370" customWidth="1"/>
    <col min="12576" max="12576" width="12" style="370" bestFit="1" customWidth="1"/>
    <col min="12577" max="12577" width="27.140625" style="370" bestFit="1" customWidth="1"/>
    <col min="12578" max="12578" width="83.28515625" style="370" bestFit="1" customWidth="1"/>
    <col min="12579" max="12579" width="13" style="370" bestFit="1" customWidth="1"/>
    <col min="12580" max="12580" width="17.140625" style="370" bestFit="1" customWidth="1"/>
    <col min="12581" max="12581" width="18.5703125" style="370" bestFit="1" customWidth="1"/>
    <col min="12582" max="12582" width="20.7109375" style="370" bestFit="1" customWidth="1"/>
    <col min="12583" max="12583" width="20.5703125" style="370" bestFit="1" customWidth="1"/>
    <col min="12584" max="12584" width="22.140625" style="370" bestFit="1" customWidth="1"/>
    <col min="12585" max="12585" width="19.5703125" style="370" bestFit="1" customWidth="1"/>
    <col min="12586" max="12586" width="14.42578125" style="370" bestFit="1" customWidth="1"/>
    <col min="12587" max="12587" width="17" style="370" bestFit="1" customWidth="1"/>
    <col min="12588" max="12588" width="15.7109375" style="370" bestFit="1" customWidth="1"/>
    <col min="12589" max="12589" width="15.28515625" style="370" bestFit="1" customWidth="1"/>
    <col min="12590" max="12590" width="12.42578125" style="370" customWidth="1"/>
    <col min="12591" max="12591" width="13.42578125" style="370" bestFit="1" customWidth="1"/>
    <col min="12592" max="12792" width="9.140625" style="370"/>
    <col min="12793" max="12793" width="13" style="370" bestFit="1" customWidth="1"/>
    <col min="12794" max="12794" width="15.7109375" style="370" bestFit="1" customWidth="1"/>
    <col min="12795" max="12795" width="15.140625" style="370" bestFit="1" customWidth="1"/>
    <col min="12796" max="12796" width="7" style="370" customWidth="1"/>
    <col min="12797" max="12797" width="8.28515625" style="370" customWidth="1"/>
    <col min="12798" max="12798" width="7.28515625" style="370" customWidth="1"/>
    <col min="12799" max="12799" width="18.7109375" style="370" bestFit="1" customWidth="1"/>
    <col min="12800" max="12800" width="9.5703125" style="370" bestFit="1" customWidth="1"/>
    <col min="12801" max="12801" width="10.85546875" style="370" bestFit="1" customWidth="1"/>
    <col min="12802" max="12802" width="14.140625" style="370" bestFit="1" customWidth="1"/>
    <col min="12803" max="12803" width="20.5703125" style="370" bestFit="1" customWidth="1"/>
    <col min="12804" max="12812" width="11.140625" style="370" bestFit="1" customWidth="1"/>
    <col min="12813" max="12815" width="12.140625" style="370" bestFit="1" customWidth="1"/>
    <col min="12816" max="12816" width="10.85546875" style="370" bestFit="1" customWidth="1"/>
    <col min="12817" max="12817" width="11.42578125" style="370" bestFit="1" customWidth="1"/>
    <col min="12818" max="12818" width="12" style="370" bestFit="1" customWidth="1"/>
    <col min="12819" max="12819" width="17.140625" style="370" bestFit="1" customWidth="1"/>
    <col min="12820" max="12820" width="13.140625" style="370" bestFit="1" customWidth="1"/>
    <col min="12821" max="12821" width="14.7109375" style="370" bestFit="1" customWidth="1"/>
    <col min="12822" max="12822" width="26" style="370" bestFit="1" customWidth="1"/>
    <col min="12823" max="12823" width="18.140625" style="370" bestFit="1" customWidth="1"/>
    <col min="12824" max="12824" width="8.7109375" style="370" customWidth="1"/>
    <col min="12825" max="12825" width="10.140625" style="370" customWidth="1"/>
    <col min="12826" max="12826" width="18.7109375" style="370" customWidth="1"/>
    <col min="12827" max="12827" width="8" style="370" customWidth="1"/>
    <col min="12828" max="12828" width="19.42578125" style="370" bestFit="1" customWidth="1"/>
    <col min="12829" max="12829" width="16.140625" style="370" bestFit="1" customWidth="1"/>
    <col min="12830" max="12830" width="20.7109375" style="370" bestFit="1" customWidth="1"/>
    <col min="12831" max="12831" width="9.5703125" style="370" customWidth="1"/>
    <col min="12832" max="12832" width="12" style="370" bestFit="1" customWidth="1"/>
    <col min="12833" max="12833" width="27.140625" style="370" bestFit="1" customWidth="1"/>
    <col min="12834" max="12834" width="83.28515625" style="370" bestFit="1" customWidth="1"/>
    <col min="12835" max="12835" width="13" style="370" bestFit="1" customWidth="1"/>
    <col min="12836" max="12836" width="17.140625" style="370" bestFit="1" customWidth="1"/>
    <col min="12837" max="12837" width="18.5703125" style="370" bestFit="1" customWidth="1"/>
    <col min="12838" max="12838" width="20.7109375" style="370" bestFit="1" customWidth="1"/>
    <col min="12839" max="12839" width="20.5703125" style="370" bestFit="1" customWidth="1"/>
    <col min="12840" max="12840" width="22.140625" style="370" bestFit="1" customWidth="1"/>
    <col min="12841" max="12841" width="19.5703125" style="370" bestFit="1" customWidth="1"/>
    <col min="12842" max="12842" width="14.42578125" style="370" bestFit="1" customWidth="1"/>
    <col min="12843" max="12843" width="17" style="370" bestFit="1" customWidth="1"/>
    <col min="12844" max="12844" width="15.7109375" style="370" bestFit="1" customWidth="1"/>
    <col min="12845" max="12845" width="15.28515625" style="370" bestFit="1" customWidth="1"/>
    <col min="12846" max="12846" width="12.42578125" style="370" customWidth="1"/>
    <col min="12847" max="12847" width="13.42578125" style="370" bestFit="1" customWidth="1"/>
    <col min="12848" max="13048" width="9.140625" style="370"/>
    <col min="13049" max="13049" width="13" style="370" bestFit="1" customWidth="1"/>
    <col min="13050" max="13050" width="15.7109375" style="370" bestFit="1" customWidth="1"/>
    <col min="13051" max="13051" width="15.140625" style="370" bestFit="1" customWidth="1"/>
    <col min="13052" max="13052" width="7" style="370" customWidth="1"/>
    <col min="13053" max="13053" width="8.28515625" style="370" customWidth="1"/>
    <col min="13054" max="13054" width="7.28515625" style="370" customWidth="1"/>
    <col min="13055" max="13055" width="18.7109375" style="370" bestFit="1" customWidth="1"/>
    <col min="13056" max="13056" width="9.5703125" style="370" bestFit="1" customWidth="1"/>
    <col min="13057" max="13057" width="10.85546875" style="370" bestFit="1" customWidth="1"/>
    <col min="13058" max="13058" width="14.140625" style="370" bestFit="1" customWidth="1"/>
    <col min="13059" max="13059" width="20.5703125" style="370" bestFit="1" customWidth="1"/>
    <col min="13060" max="13068" width="11.140625" style="370" bestFit="1" customWidth="1"/>
    <col min="13069" max="13071" width="12.140625" style="370" bestFit="1" customWidth="1"/>
    <col min="13072" max="13072" width="10.85546875" style="370" bestFit="1" customWidth="1"/>
    <col min="13073" max="13073" width="11.42578125" style="370" bestFit="1" customWidth="1"/>
    <col min="13074" max="13074" width="12" style="370" bestFit="1" customWidth="1"/>
    <col min="13075" max="13075" width="17.140625" style="370" bestFit="1" customWidth="1"/>
    <col min="13076" max="13076" width="13.140625" style="370" bestFit="1" customWidth="1"/>
    <col min="13077" max="13077" width="14.7109375" style="370" bestFit="1" customWidth="1"/>
    <col min="13078" max="13078" width="26" style="370" bestFit="1" customWidth="1"/>
    <col min="13079" max="13079" width="18.140625" style="370" bestFit="1" customWidth="1"/>
    <col min="13080" max="13080" width="8.7109375" style="370" customWidth="1"/>
    <col min="13081" max="13081" width="10.140625" style="370" customWidth="1"/>
    <col min="13082" max="13082" width="18.7109375" style="370" customWidth="1"/>
    <col min="13083" max="13083" width="8" style="370" customWidth="1"/>
    <col min="13084" max="13084" width="19.42578125" style="370" bestFit="1" customWidth="1"/>
    <col min="13085" max="13085" width="16.140625" style="370" bestFit="1" customWidth="1"/>
    <col min="13086" max="13086" width="20.7109375" style="370" bestFit="1" customWidth="1"/>
    <col min="13087" max="13087" width="9.5703125" style="370" customWidth="1"/>
    <col min="13088" max="13088" width="12" style="370" bestFit="1" customWidth="1"/>
    <col min="13089" max="13089" width="27.140625" style="370" bestFit="1" customWidth="1"/>
    <col min="13090" max="13090" width="83.28515625" style="370" bestFit="1" customWidth="1"/>
    <col min="13091" max="13091" width="13" style="370" bestFit="1" customWidth="1"/>
    <col min="13092" max="13092" width="17.140625" style="370" bestFit="1" customWidth="1"/>
    <col min="13093" max="13093" width="18.5703125" style="370" bestFit="1" customWidth="1"/>
    <col min="13094" max="13094" width="20.7109375" style="370" bestFit="1" customWidth="1"/>
    <col min="13095" max="13095" width="20.5703125" style="370" bestFit="1" customWidth="1"/>
    <col min="13096" max="13096" width="22.140625" style="370" bestFit="1" customWidth="1"/>
    <col min="13097" max="13097" width="19.5703125" style="370" bestFit="1" customWidth="1"/>
    <col min="13098" max="13098" width="14.42578125" style="370" bestFit="1" customWidth="1"/>
    <col min="13099" max="13099" width="17" style="370" bestFit="1" customWidth="1"/>
    <col min="13100" max="13100" width="15.7109375" style="370" bestFit="1" customWidth="1"/>
    <col min="13101" max="13101" width="15.28515625" style="370" bestFit="1" customWidth="1"/>
    <col min="13102" max="13102" width="12.42578125" style="370" customWidth="1"/>
    <col min="13103" max="13103" width="13.42578125" style="370" bestFit="1" customWidth="1"/>
    <col min="13104" max="13304" width="9.140625" style="370"/>
    <col min="13305" max="13305" width="13" style="370" bestFit="1" customWidth="1"/>
    <col min="13306" max="13306" width="15.7109375" style="370" bestFit="1" customWidth="1"/>
    <col min="13307" max="13307" width="15.140625" style="370" bestFit="1" customWidth="1"/>
    <col min="13308" max="13308" width="7" style="370" customWidth="1"/>
    <col min="13309" max="13309" width="8.28515625" style="370" customWidth="1"/>
    <col min="13310" max="13310" width="7.28515625" style="370" customWidth="1"/>
    <col min="13311" max="13311" width="18.7109375" style="370" bestFit="1" customWidth="1"/>
    <col min="13312" max="13312" width="9.5703125" style="370" bestFit="1" customWidth="1"/>
    <col min="13313" max="13313" width="10.85546875" style="370" bestFit="1" customWidth="1"/>
    <col min="13314" max="13314" width="14.140625" style="370" bestFit="1" customWidth="1"/>
    <col min="13315" max="13315" width="20.5703125" style="370" bestFit="1" customWidth="1"/>
    <col min="13316" max="13324" width="11.140625" style="370" bestFit="1" customWidth="1"/>
    <col min="13325" max="13327" width="12.140625" style="370" bestFit="1" customWidth="1"/>
    <col min="13328" max="13328" width="10.85546875" style="370" bestFit="1" customWidth="1"/>
    <col min="13329" max="13329" width="11.42578125" style="370" bestFit="1" customWidth="1"/>
    <col min="13330" max="13330" width="12" style="370" bestFit="1" customWidth="1"/>
    <col min="13331" max="13331" width="17.140625" style="370" bestFit="1" customWidth="1"/>
    <col min="13332" max="13332" width="13.140625" style="370" bestFit="1" customWidth="1"/>
    <col min="13333" max="13333" width="14.7109375" style="370" bestFit="1" customWidth="1"/>
    <col min="13334" max="13334" width="26" style="370" bestFit="1" customWidth="1"/>
    <col min="13335" max="13335" width="18.140625" style="370" bestFit="1" customWidth="1"/>
    <col min="13336" max="13336" width="8.7109375" style="370" customWidth="1"/>
    <col min="13337" max="13337" width="10.140625" style="370" customWidth="1"/>
    <col min="13338" max="13338" width="18.7109375" style="370" customWidth="1"/>
    <col min="13339" max="13339" width="8" style="370" customWidth="1"/>
    <col min="13340" max="13340" width="19.42578125" style="370" bestFit="1" customWidth="1"/>
    <col min="13341" max="13341" width="16.140625" style="370" bestFit="1" customWidth="1"/>
    <col min="13342" max="13342" width="20.7109375" style="370" bestFit="1" customWidth="1"/>
    <col min="13343" max="13343" width="9.5703125" style="370" customWidth="1"/>
    <col min="13344" max="13344" width="12" style="370" bestFit="1" customWidth="1"/>
    <col min="13345" max="13345" width="27.140625" style="370" bestFit="1" customWidth="1"/>
    <col min="13346" max="13346" width="83.28515625" style="370" bestFit="1" customWidth="1"/>
    <col min="13347" max="13347" width="13" style="370" bestFit="1" customWidth="1"/>
    <col min="13348" max="13348" width="17.140625" style="370" bestFit="1" customWidth="1"/>
    <col min="13349" max="13349" width="18.5703125" style="370" bestFit="1" customWidth="1"/>
    <col min="13350" max="13350" width="20.7109375" style="370" bestFit="1" customWidth="1"/>
    <col min="13351" max="13351" width="20.5703125" style="370" bestFit="1" customWidth="1"/>
    <col min="13352" max="13352" width="22.140625" style="370" bestFit="1" customWidth="1"/>
    <col min="13353" max="13353" width="19.5703125" style="370" bestFit="1" customWidth="1"/>
    <col min="13354" max="13354" width="14.42578125" style="370" bestFit="1" customWidth="1"/>
    <col min="13355" max="13355" width="17" style="370" bestFit="1" customWidth="1"/>
    <col min="13356" max="13356" width="15.7109375" style="370" bestFit="1" customWidth="1"/>
    <col min="13357" max="13357" width="15.28515625" style="370" bestFit="1" customWidth="1"/>
    <col min="13358" max="13358" width="12.42578125" style="370" customWidth="1"/>
    <col min="13359" max="13359" width="13.42578125" style="370" bestFit="1" customWidth="1"/>
    <col min="13360" max="13560" width="9.140625" style="370"/>
    <col min="13561" max="13561" width="13" style="370" bestFit="1" customWidth="1"/>
    <col min="13562" max="13562" width="15.7109375" style="370" bestFit="1" customWidth="1"/>
    <col min="13563" max="13563" width="15.140625" style="370" bestFit="1" customWidth="1"/>
    <col min="13564" max="13564" width="7" style="370" customWidth="1"/>
    <col min="13565" max="13565" width="8.28515625" style="370" customWidth="1"/>
    <col min="13566" max="13566" width="7.28515625" style="370" customWidth="1"/>
    <col min="13567" max="13567" width="18.7109375" style="370" bestFit="1" customWidth="1"/>
    <col min="13568" max="13568" width="9.5703125" style="370" bestFit="1" customWidth="1"/>
    <col min="13569" max="13569" width="10.85546875" style="370" bestFit="1" customWidth="1"/>
    <col min="13570" max="13570" width="14.140625" style="370" bestFit="1" customWidth="1"/>
    <col min="13571" max="13571" width="20.5703125" style="370" bestFit="1" customWidth="1"/>
    <col min="13572" max="13580" width="11.140625" style="370" bestFit="1" customWidth="1"/>
    <col min="13581" max="13583" width="12.140625" style="370" bestFit="1" customWidth="1"/>
    <col min="13584" max="13584" width="10.85546875" style="370" bestFit="1" customWidth="1"/>
    <col min="13585" max="13585" width="11.42578125" style="370" bestFit="1" customWidth="1"/>
    <col min="13586" max="13586" width="12" style="370" bestFit="1" customWidth="1"/>
    <col min="13587" max="13587" width="17.140625" style="370" bestFit="1" customWidth="1"/>
    <col min="13588" max="13588" width="13.140625" style="370" bestFit="1" customWidth="1"/>
    <col min="13589" max="13589" width="14.7109375" style="370" bestFit="1" customWidth="1"/>
    <col min="13590" max="13590" width="26" style="370" bestFit="1" customWidth="1"/>
    <col min="13591" max="13591" width="18.140625" style="370" bestFit="1" customWidth="1"/>
    <col min="13592" max="13592" width="8.7109375" style="370" customWidth="1"/>
    <col min="13593" max="13593" width="10.140625" style="370" customWidth="1"/>
    <col min="13594" max="13594" width="18.7109375" style="370" customWidth="1"/>
    <col min="13595" max="13595" width="8" style="370" customWidth="1"/>
    <col min="13596" max="13596" width="19.42578125" style="370" bestFit="1" customWidth="1"/>
    <col min="13597" max="13597" width="16.140625" style="370" bestFit="1" customWidth="1"/>
    <col min="13598" max="13598" width="20.7109375" style="370" bestFit="1" customWidth="1"/>
    <col min="13599" max="13599" width="9.5703125" style="370" customWidth="1"/>
    <col min="13600" max="13600" width="12" style="370" bestFit="1" customWidth="1"/>
    <col min="13601" max="13601" width="27.140625" style="370" bestFit="1" customWidth="1"/>
    <col min="13602" max="13602" width="83.28515625" style="370" bestFit="1" customWidth="1"/>
    <col min="13603" max="13603" width="13" style="370" bestFit="1" customWidth="1"/>
    <col min="13604" max="13604" width="17.140625" style="370" bestFit="1" customWidth="1"/>
    <col min="13605" max="13605" width="18.5703125" style="370" bestFit="1" customWidth="1"/>
    <col min="13606" max="13606" width="20.7109375" style="370" bestFit="1" customWidth="1"/>
    <col min="13607" max="13607" width="20.5703125" style="370" bestFit="1" customWidth="1"/>
    <col min="13608" max="13608" width="22.140625" style="370" bestFit="1" customWidth="1"/>
    <col min="13609" max="13609" width="19.5703125" style="370" bestFit="1" customWidth="1"/>
    <col min="13610" max="13610" width="14.42578125" style="370" bestFit="1" customWidth="1"/>
    <col min="13611" max="13611" width="17" style="370" bestFit="1" customWidth="1"/>
    <col min="13612" max="13612" width="15.7109375" style="370" bestFit="1" customWidth="1"/>
    <col min="13613" max="13613" width="15.28515625" style="370" bestFit="1" customWidth="1"/>
    <col min="13614" max="13614" width="12.42578125" style="370" customWidth="1"/>
    <col min="13615" max="13615" width="13.42578125" style="370" bestFit="1" customWidth="1"/>
    <col min="13616" max="13816" width="9.140625" style="370"/>
    <col min="13817" max="13817" width="13" style="370" bestFit="1" customWidth="1"/>
    <col min="13818" max="13818" width="15.7109375" style="370" bestFit="1" customWidth="1"/>
    <col min="13819" max="13819" width="15.140625" style="370" bestFit="1" customWidth="1"/>
    <col min="13820" max="13820" width="7" style="370" customWidth="1"/>
    <col min="13821" max="13821" width="8.28515625" style="370" customWidth="1"/>
    <col min="13822" max="13822" width="7.28515625" style="370" customWidth="1"/>
    <col min="13823" max="13823" width="18.7109375" style="370" bestFit="1" customWidth="1"/>
    <col min="13824" max="13824" width="9.5703125" style="370" bestFit="1" customWidth="1"/>
    <col min="13825" max="13825" width="10.85546875" style="370" bestFit="1" customWidth="1"/>
    <col min="13826" max="13826" width="14.140625" style="370" bestFit="1" customWidth="1"/>
    <col min="13827" max="13827" width="20.5703125" style="370" bestFit="1" customWidth="1"/>
    <col min="13828" max="13836" width="11.140625" style="370" bestFit="1" customWidth="1"/>
    <col min="13837" max="13839" width="12.140625" style="370" bestFit="1" customWidth="1"/>
    <col min="13840" max="13840" width="10.85546875" style="370" bestFit="1" customWidth="1"/>
    <col min="13841" max="13841" width="11.42578125" style="370" bestFit="1" customWidth="1"/>
    <col min="13842" max="13842" width="12" style="370" bestFit="1" customWidth="1"/>
    <col min="13843" max="13843" width="17.140625" style="370" bestFit="1" customWidth="1"/>
    <col min="13844" max="13844" width="13.140625" style="370" bestFit="1" customWidth="1"/>
    <col min="13845" max="13845" width="14.7109375" style="370" bestFit="1" customWidth="1"/>
    <col min="13846" max="13846" width="26" style="370" bestFit="1" customWidth="1"/>
    <col min="13847" max="13847" width="18.140625" style="370" bestFit="1" customWidth="1"/>
    <col min="13848" max="13848" width="8.7109375" style="370" customWidth="1"/>
    <col min="13849" max="13849" width="10.140625" style="370" customWidth="1"/>
    <col min="13850" max="13850" width="18.7109375" style="370" customWidth="1"/>
    <col min="13851" max="13851" width="8" style="370" customWidth="1"/>
    <col min="13852" max="13852" width="19.42578125" style="370" bestFit="1" customWidth="1"/>
    <col min="13853" max="13853" width="16.140625" style="370" bestFit="1" customWidth="1"/>
    <col min="13854" max="13854" width="20.7109375" style="370" bestFit="1" customWidth="1"/>
    <col min="13855" max="13855" width="9.5703125" style="370" customWidth="1"/>
    <col min="13856" max="13856" width="12" style="370" bestFit="1" customWidth="1"/>
    <col min="13857" max="13857" width="27.140625" style="370" bestFit="1" customWidth="1"/>
    <col min="13858" max="13858" width="83.28515625" style="370" bestFit="1" customWidth="1"/>
    <col min="13859" max="13859" width="13" style="370" bestFit="1" customWidth="1"/>
    <col min="13860" max="13860" width="17.140625" style="370" bestFit="1" customWidth="1"/>
    <col min="13861" max="13861" width="18.5703125" style="370" bestFit="1" customWidth="1"/>
    <col min="13862" max="13862" width="20.7109375" style="370" bestFit="1" customWidth="1"/>
    <col min="13863" max="13863" width="20.5703125" style="370" bestFit="1" customWidth="1"/>
    <col min="13864" max="13864" width="22.140625" style="370" bestFit="1" customWidth="1"/>
    <col min="13865" max="13865" width="19.5703125" style="370" bestFit="1" customWidth="1"/>
    <col min="13866" max="13866" width="14.42578125" style="370" bestFit="1" customWidth="1"/>
    <col min="13867" max="13867" width="17" style="370" bestFit="1" customWidth="1"/>
    <col min="13868" max="13868" width="15.7109375" style="370" bestFit="1" customWidth="1"/>
    <col min="13869" max="13869" width="15.28515625" style="370" bestFit="1" customWidth="1"/>
    <col min="13870" max="13870" width="12.42578125" style="370" customWidth="1"/>
    <col min="13871" max="13871" width="13.42578125" style="370" bestFit="1" customWidth="1"/>
    <col min="13872" max="14072" width="9.140625" style="370"/>
    <col min="14073" max="14073" width="13" style="370" bestFit="1" customWidth="1"/>
    <col min="14074" max="14074" width="15.7109375" style="370" bestFit="1" customWidth="1"/>
    <col min="14075" max="14075" width="15.140625" style="370" bestFit="1" customWidth="1"/>
    <col min="14076" max="14076" width="7" style="370" customWidth="1"/>
    <col min="14077" max="14077" width="8.28515625" style="370" customWidth="1"/>
    <col min="14078" max="14078" width="7.28515625" style="370" customWidth="1"/>
    <col min="14079" max="14079" width="18.7109375" style="370" bestFit="1" customWidth="1"/>
    <col min="14080" max="14080" width="9.5703125" style="370" bestFit="1" customWidth="1"/>
    <col min="14081" max="14081" width="10.85546875" style="370" bestFit="1" customWidth="1"/>
    <col min="14082" max="14082" width="14.140625" style="370" bestFit="1" customWidth="1"/>
    <col min="14083" max="14083" width="20.5703125" style="370" bestFit="1" customWidth="1"/>
    <col min="14084" max="14092" width="11.140625" style="370" bestFit="1" customWidth="1"/>
    <col min="14093" max="14095" width="12.140625" style="370" bestFit="1" customWidth="1"/>
    <col min="14096" max="14096" width="10.85546875" style="370" bestFit="1" customWidth="1"/>
    <col min="14097" max="14097" width="11.42578125" style="370" bestFit="1" customWidth="1"/>
    <col min="14098" max="14098" width="12" style="370" bestFit="1" customWidth="1"/>
    <col min="14099" max="14099" width="17.140625" style="370" bestFit="1" customWidth="1"/>
    <col min="14100" max="14100" width="13.140625" style="370" bestFit="1" customWidth="1"/>
    <col min="14101" max="14101" width="14.7109375" style="370" bestFit="1" customWidth="1"/>
    <col min="14102" max="14102" width="26" style="370" bestFit="1" customWidth="1"/>
    <col min="14103" max="14103" width="18.140625" style="370" bestFit="1" customWidth="1"/>
    <col min="14104" max="14104" width="8.7109375" style="370" customWidth="1"/>
    <col min="14105" max="14105" width="10.140625" style="370" customWidth="1"/>
    <col min="14106" max="14106" width="18.7109375" style="370" customWidth="1"/>
    <col min="14107" max="14107" width="8" style="370" customWidth="1"/>
    <col min="14108" max="14108" width="19.42578125" style="370" bestFit="1" customWidth="1"/>
    <col min="14109" max="14109" width="16.140625" style="370" bestFit="1" customWidth="1"/>
    <col min="14110" max="14110" width="20.7109375" style="370" bestFit="1" customWidth="1"/>
    <col min="14111" max="14111" width="9.5703125" style="370" customWidth="1"/>
    <col min="14112" max="14112" width="12" style="370" bestFit="1" customWidth="1"/>
    <col min="14113" max="14113" width="27.140625" style="370" bestFit="1" customWidth="1"/>
    <col min="14114" max="14114" width="83.28515625" style="370" bestFit="1" customWidth="1"/>
    <col min="14115" max="14115" width="13" style="370" bestFit="1" customWidth="1"/>
    <col min="14116" max="14116" width="17.140625" style="370" bestFit="1" customWidth="1"/>
    <col min="14117" max="14117" width="18.5703125" style="370" bestFit="1" customWidth="1"/>
    <col min="14118" max="14118" width="20.7109375" style="370" bestFit="1" customWidth="1"/>
    <col min="14119" max="14119" width="20.5703125" style="370" bestFit="1" customWidth="1"/>
    <col min="14120" max="14120" width="22.140625" style="370" bestFit="1" customWidth="1"/>
    <col min="14121" max="14121" width="19.5703125" style="370" bestFit="1" customWidth="1"/>
    <col min="14122" max="14122" width="14.42578125" style="370" bestFit="1" customWidth="1"/>
    <col min="14123" max="14123" width="17" style="370" bestFit="1" customWidth="1"/>
    <col min="14124" max="14124" width="15.7109375" style="370" bestFit="1" customWidth="1"/>
    <col min="14125" max="14125" width="15.28515625" style="370" bestFit="1" customWidth="1"/>
    <col min="14126" max="14126" width="12.42578125" style="370" customWidth="1"/>
    <col min="14127" max="14127" width="13.42578125" style="370" bestFit="1" customWidth="1"/>
    <col min="14128" max="14328" width="9.140625" style="370"/>
    <col min="14329" max="14329" width="13" style="370" bestFit="1" customWidth="1"/>
    <col min="14330" max="14330" width="15.7109375" style="370" bestFit="1" customWidth="1"/>
    <col min="14331" max="14331" width="15.140625" style="370" bestFit="1" customWidth="1"/>
    <col min="14332" max="14332" width="7" style="370" customWidth="1"/>
    <col min="14333" max="14333" width="8.28515625" style="370" customWidth="1"/>
    <col min="14334" max="14334" width="7.28515625" style="370" customWidth="1"/>
    <col min="14335" max="14335" width="18.7109375" style="370" bestFit="1" customWidth="1"/>
    <col min="14336" max="14336" width="9.5703125" style="370" bestFit="1" customWidth="1"/>
    <col min="14337" max="14337" width="10.85546875" style="370" bestFit="1" customWidth="1"/>
    <col min="14338" max="14338" width="14.140625" style="370" bestFit="1" customWidth="1"/>
    <col min="14339" max="14339" width="20.5703125" style="370" bestFit="1" customWidth="1"/>
    <col min="14340" max="14348" width="11.140625" style="370" bestFit="1" customWidth="1"/>
    <col min="14349" max="14351" width="12.140625" style="370" bestFit="1" customWidth="1"/>
    <col min="14352" max="14352" width="10.85546875" style="370" bestFit="1" customWidth="1"/>
    <col min="14353" max="14353" width="11.42578125" style="370" bestFit="1" customWidth="1"/>
    <col min="14354" max="14354" width="12" style="370" bestFit="1" customWidth="1"/>
    <col min="14355" max="14355" width="17.140625" style="370" bestFit="1" customWidth="1"/>
    <col min="14356" max="14356" width="13.140625" style="370" bestFit="1" customWidth="1"/>
    <col min="14357" max="14357" width="14.7109375" style="370" bestFit="1" customWidth="1"/>
    <col min="14358" max="14358" width="26" style="370" bestFit="1" customWidth="1"/>
    <col min="14359" max="14359" width="18.140625" style="370" bestFit="1" customWidth="1"/>
    <col min="14360" max="14360" width="8.7109375" style="370" customWidth="1"/>
    <col min="14361" max="14361" width="10.140625" style="370" customWidth="1"/>
    <col min="14362" max="14362" width="18.7109375" style="370" customWidth="1"/>
    <col min="14363" max="14363" width="8" style="370" customWidth="1"/>
    <col min="14364" max="14364" width="19.42578125" style="370" bestFit="1" customWidth="1"/>
    <col min="14365" max="14365" width="16.140625" style="370" bestFit="1" customWidth="1"/>
    <col min="14366" max="14366" width="20.7109375" style="370" bestFit="1" customWidth="1"/>
    <col min="14367" max="14367" width="9.5703125" style="370" customWidth="1"/>
    <col min="14368" max="14368" width="12" style="370" bestFit="1" customWidth="1"/>
    <col min="14369" max="14369" width="27.140625" style="370" bestFit="1" customWidth="1"/>
    <col min="14370" max="14370" width="83.28515625" style="370" bestFit="1" customWidth="1"/>
    <col min="14371" max="14371" width="13" style="370" bestFit="1" customWidth="1"/>
    <col min="14372" max="14372" width="17.140625" style="370" bestFit="1" customWidth="1"/>
    <col min="14373" max="14373" width="18.5703125" style="370" bestFit="1" customWidth="1"/>
    <col min="14374" max="14374" width="20.7109375" style="370" bestFit="1" customWidth="1"/>
    <col min="14375" max="14375" width="20.5703125" style="370" bestFit="1" customWidth="1"/>
    <col min="14376" max="14376" width="22.140625" style="370" bestFit="1" customWidth="1"/>
    <col min="14377" max="14377" width="19.5703125" style="370" bestFit="1" customWidth="1"/>
    <col min="14378" max="14378" width="14.42578125" style="370" bestFit="1" customWidth="1"/>
    <col min="14379" max="14379" width="17" style="370" bestFit="1" customWidth="1"/>
    <col min="14380" max="14380" width="15.7109375" style="370" bestFit="1" customWidth="1"/>
    <col min="14381" max="14381" width="15.28515625" style="370" bestFit="1" customWidth="1"/>
    <col min="14382" max="14382" width="12.42578125" style="370" customWidth="1"/>
    <col min="14383" max="14383" width="13.42578125" style="370" bestFit="1" customWidth="1"/>
    <col min="14384" max="14584" width="9.140625" style="370"/>
    <col min="14585" max="14585" width="13" style="370" bestFit="1" customWidth="1"/>
    <col min="14586" max="14586" width="15.7109375" style="370" bestFit="1" customWidth="1"/>
    <col min="14587" max="14587" width="15.140625" style="370" bestFit="1" customWidth="1"/>
    <col min="14588" max="14588" width="7" style="370" customWidth="1"/>
    <col min="14589" max="14589" width="8.28515625" style="370" customWidth="1"/>
    <col min="14590" max="14590" width="7.28515625" style="370" customWidth="1"/>
    <col min="14591" max="14591" width="18.7109375" style="370" bestFit="1" customWidth="1"/>
    <col min="14592" max="14592" width="9.5703125" style="370" bestFit="1" customWidth="1"/>
    <col min="14593" max="14593" width="10.85546875" style="370" bestFit="1" customWidth="1"/>
    <col min="14594" max="14594" width="14.140625" style="370" bestFit="1" customWidth="1"/>
    <col min="14595" max="14595" width="20.5703125" style="370" bestFit="1" customWidth="1"/>
    <col min="14596" max="14604" width="11.140625" style="370" bestFit="1" customWidth="1"/>
    <col min="14605" max="14607" width="12.140625" style="370" bestFit="1" customWidth="1"/>
    <col min="14608" max="14608" width="10.85546875" style="370" bestFit="1" customWidth="1"/>
    <col min="14609" max="14609" width="11.42578125" style="370" bestFit="1" customWidth="1"/>
    <col min="14610" max="14610" width="12" style="370" bestFit="1" customWidth="1"/>
    <col min="14611" max="14611" width="17.140625" style="370" bestFit="1" customWidth="1"/>
    <col min="14612" max="14612" width="13.140625" style="370" bestFit="1" customWidth="1"/>
    <col min="14613" max="14613" width="14.7109375" style="370" bestFit="1" customWidth="1"/>
    <col min="14614" max="14614" width="26" style="370" bestFit="1" customWidth="1"/>
    <col min="14615" max="14615" width="18.140625" style="370" bestFit="1" customWidth="1"/>
    <col min="14616" max="14616" width="8.7109375" style="370" customWidth="1"/>
    <col min="14617" max="14617" width="10.140625" style="370" customWidth="1"/>
    <col min="14618" max="14618" width="18.7109375" style="370" customWidth="1"/>
    <col min="14619" max="14619" width="8" style="370" customWidth="1"/>
    <col min="14620" max="14620" width="19.42578125" style="370" bestFit="1" customWidth="1"/>
    <col min="14621" max="14621" width="16.140625" style="370" bestFit="1" customWidth="1"/>
    <col min="14622" max="14622" width="20.7109375" style="370" bestFit="1" customWidth="1"/>
    <col min="14623" max="14623" width="9.5703125" style="370" customWidth="1"/>
    <col min="14624" max="14624" width="12" style="370" bestFit="1" customWidth="1"/>
    <col min="14625" max="14625" width="27.140625" style="370" bestFit="1" customWidth="1"/>
    <col min="14626" max="14626" width="83.28515625" style="370" bestFit="1" customWidth="1"/>
    <col min="14627" max="14627" width="13" style="370" bestFit="1" customWidth="1"/>
    <col min="14628" max="14628" width="17.140625" style="370" bestFit="1" customWidth="1"/>
    <col min="14629" max="14629" width="18.5703125" style="370" bestFit="1" customWidth="1"/>
    <col min="14630" max="14630" width="20.7109375" style="370" bestFit="1" customWidth="1"/>
    <col min="14631" max="14631" width="20.5703125" style="370" bestFit="1" customWidth="1"/>
    <col min="14632" max="14632" width="22.140625" style="370" bestFit="1" customWidth="1"/>
    <col min="14633" max="14633" width="19.5703125" style="370" bestFit="1" customWidth="1"/>
    <col min="14634" max="14634" width="14.42578125" style="370" bestFit="1" customWidth="1"/>
    <col min="14635" max="14635" width="17" style="370" bestFit="1" customWidth="1"/>
    <col min="14636" max="14636" width="15.7109375" style="370" bestFit="1" customWidth="1"/>
    <col min="14637" max="14637" width="15.28515625" style="370" bestFit="1" customWidth="1"/>
    <col min="14638" max="14638" width="12.42578125" style="370" customWidth="1"/>
    <col min="14639" max="14639" width="13.42578125" style="370" bestFit="1" customWidth="1"/>
    <col min="14640" max="14840" width="9.140625" style="370"/>
    <col min="14841" max="14841" width="13" style="370" bestFit="1" customWidth="1"/>
    <col min="14842" max="14842" width="15.7109375" style="370" bestFit="1" customWidth="1"/>
    <col min="14843" max="14843" width="15.140625" style="370" bestFit="1" customWidth="1"/>
    <col min="14844" max="14844" width="7" style="370" customWidth="1"/>
    <col min="14845" max="14845" width="8.28515625" style="370" customWidth="1"/>
    <col min="14846" max="14846" width="7.28515625" style="370" customWidth="1"/>
    <col min="14847" max="14847" width="18.7109375" style="370" bestFit="1" customWidth="1"/>
    <col min="14848" max="14848" width="9.5703125" style="370" bestFit="1" customWidth="1"/>
    <col min="14849" max="14849" width="10.85546875" style="370" bestFit="1" customWidth="1"/>
    <col min="14850" max="14850" width="14.140625" style="370" bestFit="1" customWidth="1"/>
    <col min="14851" max="14851" width="20.5703125" style="370" bestFit="1" customWidth="1"/>
    <col min="14852" max="14860" width="11.140625" style="370" bestFit="1" customWidth="1"/>
    <col min="14861" max="14863" width="12.140625" style="370" bestFit="1" customWidth="1"/>
    <col min="14864" max="14864" width="10.85546875" style="370" bestFit="1" customWidth="1"/>
    <col min="14865" max="14865" width="11.42578125" style="370" bestFit="1" customWidth="1"/>
    <col min="14866" max="14866" width="12" style="370" bestFit="1" customWidth="1"/>
    <col min="14867" max="14867" width="17.140625" style="370" bestFit="1" customWidth="1"/>
    <col min="14868" max="14868" width="13.140625" style="370" bestFit="1" customWidth="1"/>
    <col min="14869" max="14869" width="14.7109375" style="370" bestFit="1" customWidth="1"/>
    <col min="14870" max="14870" width="26" style="370" bestFit="1" customWidth="1"/>
    <col min="14871" max="14871" width="18.140625" style="370" bestFit="1" customWidth="1"/>
    <col min="14872" max="14872" width="8.7109375" style="370" customWidth="1"/>
    <col min="14873" max="14873" width="10.140625" style="370" customWidth="1"/>
    <col min="14874" max="14874" width="18.7109375" style="370" customWidth="1"/>
    <col min="14875" max="14875" width="8" style="370" customWidth="1"/>
    <col min="14876" max="14876" width="19.42578125" style="370" bestFit="1" customWidth="1"/>
    <col min="14877" max="14877" width="16.140625" style="370" bestFit="1" customWidth="1"/>
    <col min="14878" max="14878" width="20.7109375" style="370" bestFit="1" customWidth="1"/>
    <col min="14879" max="14879" width="9.5703125" style="370" customWidth="1"/>
    <col min="14880" max="14880" width="12" style="370" bestFit="1" customWidth="1"/>
    <col min="14881" max="14881" width="27.140625" style="370" bestFit="1" customWidth="1"/>
    <col min="14882" max="14882" width="83.28515625" style="370" bestFit="1" customWidth="1"/>
    <col min="14883" max="14883" width="13" style="370" bestFit="1" customWidth="1"/>
    <col min="14884" max="14884" width="17.140625" style="370" bestFit="1" customWidth="1"/>
    <col min="14885" max="14885" width="18.5703125" style="370" bestFit="1" customWidth="1"/>
    <col min="14886" max="14886" width="20.7109375" style="370" bestFit="1" customWidth="1"/>
    <col min="14887" max="14887" width="20.5703125" style="370" bestFit="1" customWidth="1"/>
    <col min="14888" max="14888" width="22.140625" style="370" bestFit="1" customWidth="1"/>
    <col min="14889" max="14889" width="19.5703125" style="370" bestFit="1" customWidth="1"/>
    <col min="14890" max="14890" width="14.42578125" style="370" bestFit="1" customWidth="1"/>
    <col min="14891" max="14891" width="17" style="370" bestFit="1" customWidth="1"/>
    <col min="14892" max="14892" width="15.7109375" style="370" bestFit="1" customWidth="1"/>
    <col min="14893" max="14893" width="15.28515625" style="370" bestFit="1" customWidth="1"/>
    <col min="14894" max="14894" width="12.42578125" style="370" customWidth="1"/>
    <col min="14895" max="14895" width="13.42578125" style="370" bestFit="1" customWidth="1"/>
    <col min="14896" max="15096" width="9.140625" style="370"/>
    <col min="15097" max="15097" width="13" style="370" bestFit="1" customWidth="1"/>
    <col min="15098" max="15098" width="15.7109375" style="370" bestFit="1" customWidth="1"/>
    <col min="15099" max="15099" width="15.140625" style="370" bestFit="1" customWidth="1"/>
    <col min="15100" max="15100" width="7" style="370" customWidth="1"/>
    <col min="15101" max="15101" width="8.28515625" style="370" customWidth="1"/>
    <col min="15102" max="15102" width="7.28515625" style="370" customWidth="1"/>
    <col min="15103" max="15103" width="18.7109375" style="370" bestFit="1" customWidth="1"/>
    <col min="15104" max="15104" width="9.5703125" style="370" bestFit="1" customWidth="1"/>
    <col min="15105" max="15105" width="10.85546875" style="370" bestFit="1" customWidth="1"/>
    <col min="15106" max="15106" width="14.140625" style="370" bestFit="1" customWidth="1"/>
    <col min="15107" max="15107" width="20.5703125" style="370" bestFit="1" customWidth="1"/>
    <col min="15108" max="15116" width="11.140625" style="370" bestFit="1" customWidth="1"/>
    <col min="15117" max="15119" width="12.140625" style="370" bestFit="1" customWidth="1"/>
    <col min="15120" max="15120" width="10.85546875" style="370" bestFit="1" customWidth="1"/>
    <col min="15121" max="15121" width="11.42578125" style="370" bestFit="1" customWidth="1"/>
    <col min="15122" max="15122" width="12" style="370" bestFit="1" customWidth="1"/>
    <col min="15123" max="15123" width="17.140625" style="370" bestFit="1" customWidth="1"/>
    <col min="15124" max="15124" width="13.140625" style="370" bestFit="1" customWidth="1"/>
    <col min="15125" max="15125" width="14.7109375" style="370" bestFit="1" customWidth="1"/>
    <col min="15126" max="15126" width="26" style="370" bestFit="1" customWidth="1"/>
    <col min="15127" max="15127" width="18.140625" style="370" bestFit="1" customWidth="1"/>
    <col min="15128" max="15128" width="8.7109375" style="370" customWidth="1"/>
    <col min="15129" max="15129" width="10.140625" style="370" customWidth="1"/>
    <col min="15130" max="15130" width="18.7109375" style="370" customWidth="1"/>
    <col min="15131" max="15131" width="8" style="370" customWidth="1"/>
    <col min="15132" max="15132" width="19.42578125" style="370" bestFit="1" customWidth="1"/>
    <col min="15133" max="15133" width="16.140625" style="370" bestFit="1" customWidth="1"/>
    <col min="15134" max="15134" width="20.7109375" style="370" bestFit="1" customWidth="1"/>
    <col min="15135" max="15135" width="9.5703125" style="370" customWidth="1"/>
    <col min="15136" max="15136" width="12" style="370" bestFit="1" customWidth="1"/>
    <col min="15137" max="15137" width="27.140625" style="370" bestFit="1" customWidth="1"/>
    <col min="15138" max="15138" width="83.28515625" style="370" bestFit="1" customWidth="1"/>
    <col min="15139" max="15139" width="13" style="370" bestFit="1" customWidth="1"/>
    <col min="15140" max="15140" width="17.140625" style="370" bestFit="1" customWidth="1"/>
    <col min="15141" max="15141" width="18.5703125" style="370" bestFit="1" customWidth="1"/>
    <col min="15142" max="15142" width="20.7109375" style="370" bestFit="1" customWidth="1"/>
    <col min="15143" max="15143" width="20.5703125" style="370" bestFit="1" customWidth="1"/>
    <col min="15144" max="15144" width="22.140625" style="370" bestFit="1" customWidth="1"/>
    <col min="15145" max="15145" width="19.5703125" style="370" bestFit="1" customWidth="1"/>
    <col min="15146" max="15146" width="14.42578125" style="370" bestFit="1" customWidth="1"/>
    <col min="15147" max="15147" width="17" style="370" bestFit="1" customWidth="1"/>
    <col min="15148" max="15148" width="15.7109375" style="370" bestFit="1" customWidth="1"/>
    <col min="15149" max="15149" width="15.28515625" style="370" bestFit="1" customWidth="1"/>
    <col min="15150" max="15150" width="12.42578125" style="370" customWidth="1"/>
    <col min="15151" max="15151" width="13.42578125" style="370" bestFit="1" customWidth="1"/>
    <col min="15152" max="15352" width="9.140625" style="370"/>
    <col min="15353" max="15353" width="13" style="370" bestFit="1" customWidth="1"/>
    <col min="15354" max="15354" width="15.7109375" style="370" bestFit="1" customWidth="1"/>
    <col min="15355" max="15355" width="15.140625" style="370" bestFit="1" customWidth="1"/>
    <col min="15356" max="15356" width="7" style="370" customWidth="1"/>
    <col min="15357" max="15357" width="8.28515625" style="370" customWidth="1"/>
    <col min="15358" max="15358" width="7.28515625" style="370" customWidth="1"/>
    <col min="15359" max="15359" width="18.7109375" style="370" bestFit="1" customWidth="1"/>
    <col min="15360" max="15360" width="9.5703125" style="370" bestFit="1" customWidth="1"/>
    <col min="15361" max="15361" width="10.85546875" style="370" bestFit="1" customWidth="1"/>
    <col min="15362" max="15362" width="14.140625" style="370" bestFit="1" customWidth="1"/>
    <col min="15363" max="15363" width="20.5703125" style="370" bestFit="1" customWidth="1"/>
    <col min="15364" max="15372" width="11.140625" style="370" bestFit="1" customWidth="1"/>
    <col min="15373" max="15375" width="12.140625" style="370" bestFit="1" customWidth="1"/>
    <col min="15376" max="15376" width="10.85546875" style="370" bestFit="1" customWidth="1"/>
    <col min="15377" max="15377" width="11.42578125" style="370" bestFit="1" customWidth="1"/>
    <col min="15378" max="15378" width="12" style="370" bestFit="1" customWidth="1"/>
    <col min="15379" max="15379" width="17.140625" style="370" bestFit="1" customWidth="1"/>
    <col min="15380" max="15380" width="13.140625" style="370" bestFit="1" customWidth="1"/>
    <col min="15381" max="15381" width="14.7109375" style="370" bestFit="1" customWidth="1"/>
    <col min="15382" max="15382" width="26" style="370" bestFit="1" customWidth="1"/>
    <col min="15383" max="15383" width="18.140625" style="370" bestFit="1" customWidth="1"/>
    <col min="15384" max="15384" width="8.7109375" style="370" customWidth="1"/>
    <col min="15385" max="15385" width="10.140625" style="370" customWidth="1"/>
    <col min="15386" max="15386" width="18.7109375" style="370" customWidth="1"/>
    <col min="15387" max="15387" width="8" style="370" customWidth="1"/>
    <col min="15388" max="15388" width="19.42578125" style="370" bestFit="1" customWidth="1"/>
    <col min="15389" max="15389" width="16.140625" style="370" bestFit="1" customWidth="1"/>
    <col min="15390" max="15390" width="20.7109375" style="370" bestFit="1" customWidth="1"/>
    <col min="15391" max="15391" width="9.5703125" style="370" customWidth="1"/>
    <col min="15392" max="15392" width="12" style="370" bestFit="1" customWidth="1"/>
    <col min="15393" max="15393" width="27.140625" style="370" bestFit="1" customWidth="1"/>
    <col min="15394" max="15394" width="83.28515625" style="370" bestFit="1" customWidth="1"/>
    <col min="15395" max="15395" width="13" style="370" bestFit="1" customWidth="1"/>
    <col min="15396" max="15396" width="17.140625" style="370" bestFit="1" customWidth="1"/>
    <col min="15397" max="15397" width="18.5703125" style="370" bestFit="1" customWidth="1"/>
    <col min="15398" max="15398" width="20.7109375" style="370" bestFit="1" customWidth="1"/>
    <col min="15399" max="15399" width="20.5703125" style="370" bestFit="1" customWidth="1"/>
    <col min="15400" max="15400" width="22.140625" style="370" bestFit="1" customWidth="1"/>
    <col min="15401" max="15401" width="19.5703125" style="370" bestFit="1" customWidth="1"/>
    <col min="15402" max="15402" width="14.42578125" style="370" bestFit="1" customWidth="1"/>
    <col min="15403" max="15403" width="17" style="370" bestFit="1" customWidth="1"/>
    <col min="15404" max="15404" width="15.7109375" style="370" bestFit="1" customWidth="1"/>
    <col min="15405" max="15405" width="15.28515625" style="370" bestFit="1" customWidth="1"/>
    <col min="15406" max="15406" width="12.42578125" style="370" customWidth="1"/>
    <col min="15407" max="15407" width="13.42578125" style="370" bestFit="1" customWidth="1"/>
    <col min="15408" max="15608" width="9.140625" style="370"/>
    <col min="15609" max="15609" width="13" style="370" bestFit="1" customWidth="1"/>
    <col min="15610" max="15610" width="15.7109375" style="370" bestFit="1" customWidth="1"/>
    <col min="15611" max="15611" width="15.140625" style="370" bestFit="1" customWidth="1"/>
    <col min="15612" max="15612" width="7" style="370" customWidth="1"/>
    <col min="15613" max="15613" width="8.28515625" style="370" customWidth="1"/>
    <col min="15614" max="15614" width="7.28515625" style="370" customWidth="1"/>
    <col min="15615" max="15615" width="18.7109375" style="370" bestFit="1" customWidth="1"/>
    <col min="15616" max="15616" width="9.5703125" style="370" bestFit="1" customWidth="1"/>
    <col min="15617" max="15617" width="10.85546875" style="370" bestFit="1" customWidth="1"/>
    <col min="15618" max="15618" width="14.140625" style="370" bestFit="1" customWidth="1"/>
    <col min="15619" max="15619" width="20.5703125" style="370" bestFit="1" customWidth="1"/>
    <col min="15620" max="15628" width="11.140625" style="370" bestFit="1" customWidth="1"/>
    <col min="15629" max="15631" width="12.140625" style="370" bestFit="1" customWidth="1"/>
    <col min="15632" max="15632" width="10.85546875" style="370" bestFit="1" customWidth="1"/>
    <col min="15633" max="15633" width="11.42578125" style="370" bestFit="1" customWidth="1"/>
    <col min="15634" max="15634" width="12" style="370" bestFit="1" customWidth="1"/>
    <col min="15635" max="15635" width="17.140625" style="370" bestFit="1" customWidth="1"/>
    <col min="15636" max="15636" width="13.140625" style="370" bestFit="1" customWidth="1"/>
    <col min="15637" max="15637" width="14.7109375" style="370" bestFit="1" customWidth="1"/>
    <col min="15638" max="15638" width="26" style="370" bestFit="1" customWidth="1"/>
    <col min="15639" max="15639" width="18.140625" style="370" bestFit="1" customWidth="1"/>
    <col min="15640" max="15640" width="8.7109375" style="370" customWidth="1"/>
    <col min="15641" max="15641" width="10.140625" style="370" customWidth="1"/>
    <col min="15642" max="15642" width="18.7109375" style="370" customWidth="1"/>
    <col min="15643" max="15643" width="8" style="370" customWidth="1"/>
    <col min="15644" max="15644" width="19.42578125" style="370" bestFit="1" customWidth="1"/>
    <col min="15645" max="15645" width="16.140625" style="370" bestFit="1" customWidth="1"/>
    <col min="15646" max="15646" width="20.7109375" style="370" bestFit="1" customWidth="1"/>
    <col min="15647" max="15647" width="9.5703125" style="370" customWidth="1"/>
    <col min="15648" max="15648" width="12" style="370" bestFit="1" customWidth="1"/>
    <col min="15649" max="15649" width="27.140625" style="370" bestFit="1" customWidth="1"/>
    <col min="15650" max="15650" width="83.28515625" style="370" bestFit="1" customWidth="1"/>
    <col min="15651" max="15651" width="13" style="370" bestFit="1" customWidth="1"/>
    <col min="15652" max="15652" width="17.140625" style="370" bestFit="1" customWidth="1"/>
    <col min="15653" max="15653" width="18.5703125" style="370" bestFit="1" customWidth="1"/>
    <col min="15654" max="15654" width="20.7109375" style="370" bestFit="1" customWidth="1"/>
    <col min="15655" max="15655" width="20.5703125" style="370" bestFit="1" customWidth="1"/>
    <col min="15656" max="15656" width="22.140625" style="370" bestFit="1" customWidth="1"/>
    <col min="15657" max="15657" width="19.5703125" style="370" bestFit="1" customWidth="1"/>
    <col min="15658" max="15658" width="14.42578125" style="370" bestFit="1" customWidth="1"/>
    <col min="15659" max="15659" width="17" style="370" bestFit="1" customWidth="1"/>
    <col min="15660" max="15660" width="15.7109375" style="370" bestFit="1" customWidth="1"/>
    <col min="15661" max="15661" width="15.28515625" style="370" bestFit="1" customWidth="1"/>
    <col min="15662" max="15662" width="12.42578125" style="370" customWidth="1"/>
    <col min="15663" max="15663" width="13.42578125" style="370" bestFit="1" customWidth="1"/>
    <col min="15664" max="15864" width="9.140625" style="370"/>
    <col min="15865" max="15865" width="13" style="370" bestFit="1" customWidth="1"/>
    <col min="15866" max="15866" width="15.7109375" style="370" bestFit="1" customWidth="1"/>
    <col min="15867" max="15867" width="15.140625" style="370" bestFit="1" customWidth="1"/>
    <col min="15868" max="15868" width="7" style="370" customWidth="1"/>
    <col min="15869" max="15869" width="8.28515625" style="370" customWidth="1"/>
    <col min="15870" max="15870" width="7.28515625" style="370" customWidth="1"/>
    <col min="15871" max="15871" width="18.7109375" style="370" bestFit="1" customWidth="1"/>
    <col min="15872" max="15872" width="9.5703125" style="370" bestFit="1" customWidth="1"/>
    <col min="15873" max="15873" width="10.85546875" style="370" bestFit="1" customWidth="1"/>
    <col min="15874" max="15874" width="14.140625" style="370" bestFit="1" customWidth="1"/>
    <col min="15875" max="15875" width="20.5703125" style="370" bestFit="1" customWidth="1"/>
    <col min="15876" max="15884" width="11.140625" style="370" bestFit="1" customWidth="1"/>
    <col min="15885" max="15887" width="12.140625" style="370" bestFit="1" customWidth="1"/>
    <col min="15888" max="15888" width="10.85546875" style="370" bestFit="1" customWidth="1"/>
    <col min="15889" max="15889" width="11.42578125" style="370" bestFit="1" customWidth="1"/>
    <col min="15890" max="15890" width="12" style="370" bestFit="1" customWidth="1"/>
    <col min="15891" max="15891" width="17.140625" style="370" bestFit="1" customWidth="1"/>
    <col min="15892" max="15892" width="13.140625" style="370" bestFit="1" customWidth="1"/>
    <col min="15893" max="15893" width="14.7109375" style="370" bestFit="1" customWidth="1"/>
    <col min="15894" max="15894" width="26" style="370" bestFit="1" customWidth="1"/>
    <col min="15895" max="15895" width="18.140625" style="370" bestFit="1" customWidth="1"/>
    <col min="15896" max="15896" width="8.7109375" style="370" customWidth="1"/>
    <col min="15897" max="15897" width="10.140625" style="370" customWidth="1"/>
    <col min="15898" max="15898" width="18.7109375" style="370" customWidth="1"/>
    <col min="15899" max="15899" width="8" style="370" customWidth="1"/>
    <col min="15900" max="15900" width="19.42578125" style="370" bestFit="1" customWidth="1"/>
    <col min="15901" max="15901" width="16.140625" style="370" bestFit="1" customWidth="1"/>
    <col min="15902" max="15902" width="20.7109375" style="370" bestFit="1" customWidth="1"/>
    <col min="15903" max="15903" width="9.5703125" style="370" customWidth="1"/>
    <col min="15904" max="15904" width="12" style="370" bestFit="1" customWidth="1"/>
    <col min="15905" max="15905" width="27.140625" style="370" bestFit="1" customWidth="1"/>
    <col min="15906" max="15906" width="83.28515625" style="370" bestFit="1" customWidth="1"/>
    <col min="15907" max="15907" width="13" style="370" bestFit="1" customWidth="1"/>
    <col min="15908" max="15908" width="17.140625" style="370" bestFit="1" customWidth="1"/>
    <col min="15909" max="15909" width="18.5703125" style="370" bestFit="1" customWidth="1"/>
    <col min="15910" max="15910" width="20.7109375" style="370" bestFit="1" customWidth="1"/>
    <col min="15911" max="15911" width="20.5703125" style="370" bestFit="1" customWidth="1"/>
    <col min="15912" max="15912" width="22.140625" style="370" bestFit="1" customWidth="1"/>
    <col min="15913" max="15913" width="19.5703125" style="370" bestFit="1" customWidth="1"/>
    <col min="15914" max="15914" width="14.42578125" style="370" bestFit="1" customWidth="1"/>
    <col min="15915" max="15915" width="17" style="370" bestFit="1" customWidth="1"/>
    <col min="15916" max="15916" width="15.7109375" style="370" bestFit="1" customWidth="1"/>
    <col min="15917" max="15917" width="15.28515625" style="370" bestFit="1" customWidth="1"/>
    <col min="15918" max="15918" width="12.42578125" style="370" customWidth="1"/>
    <col min="15919" max="15919" width="13.42578125" style="370" bestFit="1" customWidth="1"/>
    <col min="15920" max="16120" width="9.140625" style="370"/>
    <col min="16121" max="16121" width="13" style="370" bestFit="1" customWidth="1"/>
    <col min="16122" max="16122" width="15.7109375" style="370" bestFit="1" customWidth="1"/>
    <col min="16123" max="16123" width="15.140625" style="370" bestFit="1" customWidth="1"/>
    <col min="16124" max="16124" width="7" style="370" customWidth="1"/>
    <col min="16125" max="16125" width="8.28515625" style="370" customWidth="1"/>
    <col min="16126" max="16126" width="7.28515625" style="370" customWidth="1"/>
    <col min="16127" max="16127" width="18.7109375" style="370" bestFit="1" customWidth="1"/>
    <col min="16128" max="16128" width="9.5703125" style="370" bestFit="1" customWidth="1"/>
    <col min="16129" max="16129" width="10.85546875" style="370" bestFit="1" customWidth="1"/>
    <col min="16130" max="16130" width="14.140625" style="370" bestFit="1" customWidth="1"/>
    <col min="16131" max="16131" width="20.5703125" style="370" bestFit="1" customWidth="1"/>
    <col min="16132" max="16140" width="11.140625" style="370" bestFit="1" customWidth="1"/>
    <col min="16141" max="16143" width="12.140625" style="370" bestFit="1" customWidth="1"/>
    <col min="16144" max="16144" width="10.85546875" style="370" bestFit="1" customWidth="1"/>
    <col min="16145" max="16145" width="11.42578125" style="370" bestFit="1" customWidth="1"/>
    <col min="16146" max="16146" width="12" style="370" bestFit="1" customWidth="1"/>
    <col min="16147" max="16147" width="17.140625" style="370" bestFit="1" customWidth="1"/>
    <col min="16148" max="16148" width="13.140625" style="370" bestFit="1" customWidth="1"/>
    <col min="16149" max="16149" width="14.7109375" style="370" bestFit="1" customWidth="1"/>
    <col min="16150" max="16150" width="26" style="370" bestFit="1" customWidth="1"/>
    <col min="16151" max="16151" width="18.140625" style="370" bestFit="1" customWidth="1"/>
    <col min="16152" max="16152" width="8.7109375" style="370" customWidth="1"/>
    <col min="16153" max="16153" width="10.140625" style="370" customWidth="1"/>
    <col min="16154" max="16154" width="18.7109375" style="370" customWidth="1"/>
    <col min="16155" max="16155" width="8" style="370" customWidth="1"/>
    <col min="16156" max="16156" width="19.42578125" style="370" bestFit="1" customWidth="1"/>
    <col min="16157" max="16157" width="16.140625" style="370" bestFit="1" customWidth="1"/>
    <col min="16158" max="16158" width="20.7109375" style="370" bestFit="1" customWidth="1"/>
    <col min="16159" max="16159" width="9.5703125" style="370" customWidth="1"/>
    <col min="16160" max="16160" width="12" style="370" bestFit="1" customWidth="1"/>
    <col min="16161" max="16161" width="27.140625" style="370" bestFit="1" customWidth="1"/>
    <col min="16162" max="16162" width="83.28515625" style="370" bestFit="1" customWidth="1"/>
    <col min="16163" max="16163" width="13" style="370" bestFit="1" customWidth="1"/>
    <col min="16164" max="16164" width="17.140625" style="370" bestFit="1" customWidth="1"/>
    <col min="16165" max="16165" width="18.5703125" style="370" bestFit="1" customWidth="1"/>
    <col min="16166" max="16166" width="20.7109375" style="370" bestFit="1" customWidth="1"/>
    <col min="16167" max="16167" width="20.5703125" style="370" bestFit="1" customWidth="1"/>
    <col min="16168" max="16168" width="22.140625" style="370" bestFit="1" customWidth="1"/>
    <col min="16169" max="16169" width="19.5703125" style="370" bestFit="1" customWidth="1"/>
    <col min="16170" max="16170" width="14.42578125" style="370" bestFit="1" customWidth="1"/>
    <col min="16171" max="16171" width="17" style="370" bestFit="1" customWidth="1"/>
    <col min="16172" max="16172" width="15.7109375" style="370" bestFit="1" customWidth="1"/>
    <col min="16173" max="16173" width="15.28515625" style="370" bestFit="1" customWidth="1"/>
    <col min="16174" max="16174" width="12.42578125" style="370" customWidth="1"/>
    <col min="16175" max="16175" width="13.42578125" style="370" bestFit="1" customWidth="1"/>
    <col min="16176" max="16384" width="9.140625" style="370"/>
  </cols>
  <sheetData>
    <row r="1" spans="1:77" s="365" customFormat="1" ht="90.75" thickBot="1">
      <c r="A1" s="362" t="s">
        <v>1285</v>
      </c>
      <c r="B1" s="362" t="s">
        <v>10</v>
      </c>
      <c r="C1" s="362" t="s">
        <v>15</v>
      </c>
      <c r="D1" s="451" t="s">
        <v>1379</v>
      </c>
      <c r="E1" s="362" t="s">
        <v>1380</v>
      </c>
      <c r="F1" s="451" t="s">
        <v>1361</v>
      </c>
      <c r="G1" s="362" t="s">
        <v>1363</v>
      </c>
      <c r="H1" s="455" t="s">
        <v>1381</v>
      </c>
      <c r="I1" s="363" t="s">
        <v>1382</v>
      </c>
      <c r="J1" s="455" t="s">
        <v>1383</v>
      </c>
      <c r="K1" s="455" t="s">
        <v>1384</v>
      </c>
      <c r="L1" s="458" t="s">
        <v>1385</v>
      </c>
      <c r="M1" s="458" t="s">
        <v>1386</v>
      </c>
      <c r="N1" s="458" t="s">
        <v>1387</v>
      </c>
      <c r="O1" s="458" t="s">
        <v>1388</v>
      </c>
      <c r="P1" s="458" t="s">
        <v>1389</v>
      </c>
      <c r="Q1" s="458" t="s">
        <v>1390</v>
      </c>
      <c r="R1" s="458" t="s">
        <v>1391</v>
      </c>
      <c r="S1" s="458" t="s">
        <v>1392</v>
      </c>
      <c r="T1" s="458" t="s">
        <v>1393</v>
      </c>
      <c r="U1" s="458" t="s">
        <v>1394</v>
      </c>
      <c r="V1" s="458" t="s">
        <v>1395</v>
      </c>
      <c r="W1" s="458" t="s">
        <v>1396</v>
      </c>
      <c r="X1" s="364" t="s">
        <v>1397</v>
      </c>
      <c r="Y1" s="458" t="s">
        <v>1398</v>
      </c>
      <c r="Z1" s="364" t="s">
        <v>1399</v>
      </c>
      <c r="AA1" s="364" t="s">
        <v>1400</v>
      </c>
      <c r="AB1" s="364" t="s">
        <v>1401</v>
      </c>
      <c r="AC1" s="459" t="s">
        <v>1402</v>
      </c>
      <c r="AD1" s="365" t="s">
        <v>1403</v>
      </c>
      <c r="AE1" s="365" t="s">
        <v>1404</v>
      </c>
      <c r="AF1" s="459" t="s">
        <v>1405</v>
      </c>
      <c r="AG1" s="366" t="s">
        <v>1406</v>
      </c>
      <c r="AH1" s="365" t="s">
        <v>1407</v>
      </c>
      <c r="AI1" s="365" t="s">
        <v>1408</v>
      </c>
      <c r="AJ1" s="365" t="s">
        <v>1409</v>
      </c>
      <c r="AK1" s="365" t="s">
        <v>1410</v>
      </c>
      <c r="AL1" s="365" t="s">
        <v>1411</v>
      </c>
      <c r="AM1" s="367" t="s">
        <v>1412</v>
      </c>
      <c r="AN1" s="367" t="s">
        <v>1413</v>
      </c>
      <c r="AO1" s="459" t="s">
        <v>1414</v>
      </c>
      <c r="AP1" s="459" t="s">
        <v>1415</v>
      </c>
      <c r="AQ1" s="368" t="s">
        <v>1317</v>
      </c>
      <c r="AR1" s="365" t="s">
        <v>1416</v>
      </c>
      <c r="AS1" s="365" t="s">
        <v>1417</v>
      </c>
      <c r="AT1" s="492" t="s">
        <v>2349</v>
      </c>
      <c r="AU1" s="365" t="s">
        <v>1419</v>
      </c>
      <c r="AV1" s="365" t="s">
        <v>1420</v>
      </c>
      <c r="AW1" s="365" t="s">
        <v>1421</v>
      </c>
      <c r="AX1" s="365" t="s">
        <v>1437</v>
      </c>
      <c r="AY1" s="365" t="s">
        <v>13</v>
      </c>
      <c r="AZ1" s="365" t="s">
        <v>1563</v>
      </c>
      <c r="BA1" s="365" t="s">
        <v>1514</v>
      </c>
      <c r="BB1" s="367" t="s">
        <v>1723</v>
      </c>
      <c r="BC1" s="459" t="s">
        <v>1724</v>
      </c>
      <c r="BD1" s="369" t="s">
        <v>1725</v>
      </c>
      <c r="BE1" s="459" t="s">
        <v>1751</v>
      </c>
      <c r="BF1" s="459" t="s">
        <v>1752</v>
      </c>
      <c r="BG1" s="365" t="s">
        <v>1753</v>
      </c>
      <c r="BH1" s="459" t="s">
        <v>1754</v>
      </c>
      <c r="BI1" s="459" t="s">
        <v>1755</v>
      </c>
      <c r="BJ1" s="459" t="s">
        <v>1756</v>
      </c>
      <c r="BK1" s="459" t="s">
        <v>1757</v>
      </c>
      <c r="BL1" s="365" t="s">
        <v>1758</v>
      </c>
      <c r="BM1" s="459" t="s">
        <v>1759</v>
      </c>
      <c r="BN1" s="365" t="s">
        <v>1760</v>
      </c>
      <c r="BO1" s="365" t="s">
        <v>1761</v>
      </c>
      <c r="BP1" s="365" t="s">
        <v>1762</v>
      </c>
      <c r="BQ1" s="365" t="s">
        <v>1763</v>
      </c>
      <c r="BR1" s="365" t="s">
        <v>1790</v>
      </c>
      <c r="BS1" s="365" t="s">
        <v>3439</v>
      </c>
      <c r="BT1" s="365" t="s">
        <v>3440</v>
      </c>
      <c r="BU1" s="365" t="s">
        <v>3441</v>
      </c>
      <c r="BV1" s="365" t="s">
        <v>3442</v>
      </c>
      <c r="BW1" s="365" t="s">
        <v>3445</v>
      </c>
      <c r="BX1" s="365" t="s">
        <v>3443</v>
      </c>
      <c r="BY1" s="365" t="s">
        <v>3444</v>
      </c>
    </row>
    <row r="2" spans="1:77" ht="15.75" thickBot="1">
      <c r="A2" t="s">
        <v>31</v>
      </c>
      <c r="B2" t="s">
        <v>19</v>
      </c>
      <c r="C2" s="401" t="s">
        <v>31</v>
      </c>
      <c r="D2" s="452">
        <v>0</v>
      </c>
      <c r="E2" t="s">
        <v>1716</v>
      </c>
      <c r="F2" s="452">
        <v>3</v>
      </c>
      <c r="G2" t="s">
        <v>1661</v>
      </c>
      <c r="H2" s="456">
        <v>21</v>
      </c>
      <c r="I2" t="s">
        <v>1632</v>
      </c>
      <c r="J2" s="452">
        <v>1</v>
      </c>
      <c r="K2" s="452">
        <v>366</v>
      </c>
      <c r="L2" s="452">
        <v>0</v>
      </c>
      <c r="M2" s="452">
        <v>0</v>
      </c>
      <c r="N2" s="452">
        <v>140</v>
      </c>
      <c r="O2" s="452">
        <v>0</v>
      </c>
      <c r="P2" s="452">
        <v>0</v>
      </c>
      <c r="Q2" s="452">
        <v>30</v>
      </c>
      <c r="R2" s="452">
        <v>7</v>
      </c>
      <c r="S2" s="452">
        <v>2</v>
      </c>
      <c r="T2" s="452">
        <v>139</v>
      </c>
      <c r="U2" s="452">
        <v>2</v>
      </c>
      <c r="V2" s="452">
        <v>1</v>
      </c>
      <c r="W2" s="452">
        <v>96</v>
      </c>
      <c r="X2" s="402">
        <v>1.1399999999999999</v>
      </c>
      <c r="Y2" s="456">
        <v>417</v>
      </c>
      <c r="Z2" s="403">
        <v>439</v>
      </c>
      <c r="AA2" s="404">
        <v>71.725999999999999</v>
      </c>
      <c r="AB2" s="404">
        <v>29.172000000000001</v>
      </c>
      <c r="AC2" s="452">
        <v>22</v>
      </c>
      <c r="AD2"/>
      <c r="AE2" s="314" t="s">
        <v>1792</v>
      </c>
      <c r="AF2" s="452">
        <v>1</v>
      </c>
      <c r="AG2" s="405">
        <v>43101</v>
      </c>
      <c r="AH2"/>
      <c r="AI2"/>
      <c r="AJ2" s="400">
        <v>43102</v>
      </c>
      <c r="AK2"/>
      <c r="AL2" s="394" t="s">
        <v>927</v>
      </c>
      <c r="AM2"/>
      <c r="AN2"/>
      <c r="AO2" s="456">
        <v>29909.741999999998</v>
      </c>
      <c r="AP2" s="452">
        <v>556620</v>
      </c>
      <c r="AQ2" s="406" t="s">
        <v>1719</v>
      </c>
      <c r="AR2"/>
      <c r="AS2"/>
      <c r="AT2"/>
      <c r="AU2"/>
      <c r="AV2"/>
      <c r="AW2"/>
      <c r="AX2"/>
      <c r="AY2" t="s">
        <v>1720</v>
      </c>
      <c r="AZ2"/>
      <c r="BA2"/>
      <c r="BB2" t="s">
        <v>1726</v>
      </c>
      <c r="BC2" s="456">
        <v>12</v>
      </c>
      <c r="BD2"/>
      <c r="BE2" s="487">
        <v>5</v>
      </c>
      <c r="BF2" s="488">
        <v>40</v>
      </c>
      <c r="BG2" s="395" t="s">
        <v>1764</v>
      </c>
      <c r="BH2" s="456">
        <v>1</v>
      </c>
      <c r="BI2" s="452"/>
      <c r="BJ2" s="452">
        <v>1</v>
      </c>
      <c r="BK2" s="489" t="s">
        <v>1793</v>
      </c>
      <c r="BL2" s="407" t="s">
        <v>2625</v>
      </c>
      <c r="BM2" s="456">
        <v>1</v>
      </c>
      <c r="BN2" s="407" t="s">
        <v>1765</v>
      </c>
      <c r="BO2" s="407" t="s">
        <v>1765</v>
      </c>
      <c r="BP2" s="407" t="s">
        <v>1765</v>
      </c>
      <c r="BQ2" t="s">
        <v>31</v>
      </c>
      <c r="BR2" s="407"/>
      <c r="BS2" s="419"/>
      <c r="BT2" s="445"/>
      <c r="BU2" s="445"/>
      <c r="BV2" s="445"/>
      <c r="BW2" s="445"/>
      <c r="BX2" s="445"/>
      <c r="BY2" s="445"/>
    </row>
    <row r="3" spans="1:77" ht="15">
      <c r="A3" t="s">
        <v>31</v>
      </c>
      <c r="B3" t="s">
        <v>19</v>
      </c>
      <c r="C3" s="401" t="s">
        <v>31</v>
      </c>
      <c r="D3" s="452">
        <v>0</v>
      </c>
      <c r="E3" t="s">
        <v>1718</v>
      </c>
      <c r="F3" s="452">
        <v>2</v>
      </c>
      <c r="G3" t="s">
        <v>1661</v>
      </c>
      <c r="H3" s="456">
        <v>55</v>
      </c>
      <c r="I3" t="s">
        <v>1685</v>
      </c>
      <c r="J3" s="452">
        <v>0.3</v>
      </c>
      <c r="K3" s="452">
        <v>111</v>
      </c>
      <c r="L3" s="452">
        <v>0</v>
      </c>
      <c r="M3" s="452">
        <v>0</v>
      </c>
      <c r="N3" s="452">
        <v>24</v>
      </c>
      <c r="O3" s="452">
        <v>0</v>
      </c>
      <c r="P3" s="452">
        <v>0</v>
      </c>
      <c r="Q3" s="452">
        <v>0</v>
      </c>
      <c r="R3" s="452">
        <v>15</v>
      </c>
      <c r="S3" s="452">
        <v>0</v>
      </c>
      <c r="T3" s="452">
        <v>18</v>
      </c>
      <c r="U3" s="452">
        <v>4</v>
      </c>
      <c r="V3" s="452">
        <v>0</v>
      </c>
      <c r="W3" s="452">
        <v>13</v>
      </c>
      <c r="X3" s="402">
        <v>0.67</v>
      </c>
      <c r="Y3" s="456">
        <v>74</v>
      </c>
      <c r="Z3" s="403">
        <v>267</v>
      </c>
      <c r="AA3" s="404">
        <v>81.355000000000004</v>
      </c>
      <c r="AB3" s="404">
        <v>38.347000000000001</v>
      </c>
      <c r="AC3" s="452">
        <v>6</v>
      </c>
      <c r="AD3"/>
      <c r="AE3" s="314" t="s">
        <v>1794</v>
      </c>
      <c r="AF3" s="452">
        <v>1</v>
      </c>
      <c r="AG3" s="405">
        <v>43101</v>
      </c>
      <c r="AH3"/>
      <c r="AI3"/>
      <c r="AJ3" s="400">
        <v>43102</v>
      </c>
      <c r="AK3"/>
      <c r="AL3" s="396" t="s">
        <v>1001</v>
      </c>
      <c r="AM3"/>
      <c r="AN3"/>
      <c r="AO3" s="456">
        <v>6020.27</v>
      </c>
      <c r="AP3" s="452">
        <v>556620</v>
      </c>
      <c r="AQ3" s="406" t="s">
        <v>1719</v>
      </c>
      <c r="AR3"/>
      <c r="AS3"/>
      <c r="AT3"/>
      <c r="AU3"/>
      <c r="AV3"/>
      <c r="AW3"/>
      <c r="AX3"/>
      <c r="AY3" t="s">
        <v>1720</v>
      </c>
      <c r="AZ3"/>
      <c r="BA3"/>
      <c r="BB3" t="s">
        <v>1726</v>
      </c>
      <c r="BC3" s="456">
        <v>12</v>
      </c>
      <c r="BD3"/>
      <c r="BE3" s="487">
        <v>5</v>
      </c>
      <c r="BF3" s="488">
        <v>40</v>
      </c>
      <c r="BG3" s="395" t="s">
        <v>1764</v>
      </c>
      <c r="BH3" s="456">
        <v>1.1000000000000001</v>
      </c>
      <c r="BI3" s="452"/>
      <c r="BJ3" s="452">
        <v>2</v>
      </c>
      <c r="BK3" s="456" t="s">
        <v>1795</v>
      </c>
      <c r="BL3" s="407" t="s">
        <v>2626</v>
      </c>
      <c r="BM3" s="456">
        <v>1</v>
      </c>
      <c r="BN3" s="407" t="s">
        <v>1765</v>
      </c>
      <c r="BO3" s="407" t="s">
        <v>1765</v>
      </c>
      <c r="BP3" s="407" t="s">
        <v>1765</v>
      </c>
      <c r="BQ3" t="s">
        <v>31</v>
      </c>
      <c r="BR3" s="407"/>
      <c r="BS3" s="419"/>
      <c r="BT3" s="445"/>
      <c r="BU3" s="445"/>
      <c r="BV3" s="445"/>
      <c r="BW3" s="445"/>
      <c r="BX3" s="445"/>
      <c r="BY3" s="445"/>
    </row>
    <row r="4" spans="1:77" ht="15">
      <c r="A4" t="s">
        <v>31</v>
      </c>
      <c r="B4" t="s">
        <v>19</v>
      </c>
      <c r="C4" s="401" t="s">
        <v>31</v>
      </c>
      <c r="D4" s="452">
        <v>0</v>
      </c>
      <c r="E4" t="s">
        <v>1716</v>
      </c>
      <c r="F4" s="452">
        <v>2</v>
      </c>
      <c r="G4" t="s">
        <v>1661</v>
      </c>
      <c r="H4" s="456">
        <v>52</v>
      </c>
      <c r="I4" t="s">
        <v>1685</v>
      </c>
      <c r="J4" s="452">
        <v>0.3</v>
      </c>
      <c r="K4" s="452">
        <v>162</v>
      </c>
      <c r="L4" s="452">
        <v>0</v>
      </c>
      <c r="M4" s="452">
        <v>0</v>
      </c>
      <c r="N4" s="452">
        <v>36</v>
      </c>
      <c r="O4" s="452">
        <v>0</v>
      </c>
      <c r="P4" s="452">
        <v>0</v>
      </c>
      <c r="Q4" s="452">
        <v>0</v>
      </c>
      <c r="R4" s="452">
        <v>1</v>
      </c>
      <c r="S4" s="452">
        <v>1</v>
      </c>
      <c r="T4" s="452">
        <v>26</v>
      </c>
      <c r="U4" s="452">
        <v>0</v>
      </c>
      <c r="V4" s="452">
        <v>1</v>
      </c>
      <c r="W4" s="452">
        <v>18</v>
      </c>
      <c r="X4" s="402">
        <v>0.51</v>
      </c>
      <c r="Y4" s="456">
        <v>83</v>
      </c>
      <c r="Z4" s="403">
        <v>297</v>
      </c>
      <c r="AA4" s="404">
        <v>83.323999999999998</v>
      </c>
      <c r="AB4" s="404">
        <v>41.637</v>
      </c>
      <c r="AC4" s="452">
        <v>6</v>
      </c>
      <c r="AD4"/>
      <c r="AE4" s="314" t="s">
        <v>1796</v>
      </c>
      <c r="AF4" s="452">
        <v>1</v>
      </c>
      <c r="AG4" s="405">
        <v>43101</v>
      </c>
      <c r="AH4"/>
      <c r="AI4"/>
      <c r="AJ4" s="400">
        <v>43102</v>
      </c>
      <c r="AK4"/>
      <c r="AL4" s="396" t="s">
        <v>1001</v>
      </c>
      <c r="AM4"/>
      <c r="AN4"/>
      <c r="AO4" s="456">
        <v>6915.8919999999998</v>
      </c>
      <c r="AP4" s="452">
        <v>556620</v>
      </c>
      <c r="AQ4" s="406" t="s">
        <v>1719</v>
      </c>
      <c r="AR4"/>
      <c r="AS4"/>
      <c r="AT4"/>
      <c r="AU4"/>
      <c r="AV4"/>
      <c r="AW4"/>
      <c r="AX4"/>
      <c r="AY4" t="s">
        <v>1720</v>
      </c>
      <c r="AZ4"/>
      <c r="BA4"/>
      <c r="BB4" t="s">
        <v>1726</v>
      </c>
      <c r="BC4" s="456">
        <v>12</v>
      </c>
      <c r="BD4"/>
      <c r="BE4" s="487">
        <v>5</v>
      </c>
      <c r="BF4" s="488">
        <v>40</v>
      </c>
      <c r="BG4" s="395" t="s">
        <v>1764</v>
      </c>
      <c r="BH4" s="456">
        <v>1.1000000000000001</v>
      </c>
      <c r="BI4" s="452"/>
      <c r="BJ4" s="452">
        <v>3</v>
      </c>
      <c r="BK4" s="456" t="s">
        <v>1797</v>
      </c>
      <c r="BL4" s="407" t="s">
        <v>2627</v>
      </c>
      <c r="BM4" s="456">
        <v>1</v>
      </c>
      <c r="BN4" s="407" t="s">
        <v>1765</v>
      </c>
      <c r="BO4" s="407" t="s">
        <v>1765</v>
      </c>
      <c r="BP4" s="407" t="s">
        <v>1765</v>
      </c>
      <c r="BQ4" t="s">
        <v>31</v>
      </c>
      <c r="BR4" s="407"/>
      <c r="BS4" s="419"/>
      <c r="BT4" s="445"/>
      <c r="BU4" s="445"/>
      <c r="BV4" s="445"/>
      <c r="BW4" s="445"/>
      <c r="BX4" s="445"/>
      <c r="BY4" s="445"/>
    </row>
    <row r="5" spans="1:77" ht="15">
      <c r="A5" t="s">
        <v>31</v>
      </c>
      <c r="B5" t="s">
        <v>19</v>
      </c>
      <c r="C5" s="401" t="s">
        <v>31</v>
      </c>
      <c r="D5" s="452">
        <v>0</v>
      </c>
      <c r="E5" t="s">
        <v>1716</v>
      </c>
      <c r="F5" s="452">
        <v>2</v>
      </c>
      <c r="G5" t="s">
        <v>1661</v>
      </c>
      <c r="H5" s="456">
        <v>56</v>
      </c>
      <c r="I5" t="s">
        <v>1694</v>
      </c>
      <c r="J5" s="452">
        <v>0.8</v>
      </c>
      <c r="K5" s="452">
        <v>444</v>
      </c>
      <c r="L5" s="452">
        <v>0</v>
      </c>
      <c r="M5" s="452">
        <v>0</v>
      </c>
      <c r="N5" s="452">
        <v>116</v>
      </c>
      <c r="O5" s="452">
        <v>0</v>
      </c>
      <c r="P5" s="452">
        <v>0</v>
      </c>
      <c r="Q5" s="452">
        <v>6</v>
      </c>
      <c r="R5" s="452">
        <v>15</v>
      </c>
      <c r="S5" s="452">
        <v>2</v>
      </c>
      <c r="T5" s="452">
        <v>88</v>
      </c>
      <c r="U5" s="452">
        <v>5</v>
      </c>
      <c r="V5" s="452">
        <v>1</v>
      </c>
      <c r="W5" s="452">
        <v>58</v>
      </c>
      <c r="X5" s="402">
        <v>0.66</v>
      </c>
      <c r="Y5" s="456">
        <v>291</v>
      </c>
      <c r="Z5" s="403">
        <v>391</v>
      </c>
      <c r="AA5" s="404">
        <v>73.534999999999997</v>
      </c>
      <c r="AB5" s="404">
        <v>35.381</v>
      </c>
      <c r="AC5" s="452">
        <v>22</v>
      </c>
      <c r="AD5"/>
      <c r="AE5" s="314" t="s">
        <v>1798</v>
      </c>
      <c r="AF5" s="452">
        <v>1</v>
      </c>
      <c r="AG5" s="405">
        <v>43101</v>
      </c>
      <c r="AH5"/>
      <c r="AI5"/>
      <c r="AJ5" s="400">
        <v>43102</v>
      </c>
      <c r="AK5"/>
      <c r="AL5" s="397" t="s">
        <v>1037</v>
      </c>
      <c r="AM5"/>
      <c r="AN5"/>
      <c r="AO5" s="456">
        <v>21398.685000000001</v>
      </c>
      <c r="AP5" s="452">
        <v>556620</v>
      </c>
      <c r="AQ5" s="406" t="s">
        <v>1719</v>
      </c>
      <c r="AR5"/>
      <c r="AS5"/>
      <c r="AT5"/>
      <c r="AU5"/>
      <c r="AV5"/>
      <c r="AW5"/>
      <c r="AX5"/>
      <c r="AY5" t="s">
        <v>1720</v>
      </c>
      <c r="AZ5"/>
      <c r="BA5"/>
      <c r="BB5" t="s">
        <v>1726</v>
      </c>
      <c r="BC5" s="456">
        <v>12</v>
      </c>
      <c r="BD5"/>
      <c r="BE5" s="487">
        <v>5</v>
      </c>
      <c r="BF5" s="488">
        <v>40</v>
      </c>
      <c r="BG5" s="395" t="s">
        <v>1764</v>
      </c>
      <c r="BH5" s="456">
        <v>1.1000000000000001</v>
      </c>
      <c r="BI5" s="452"/>
      <c r="BJ5" s="452">
        <v>5</v>
      </c>
      <c r="BK5" s="456" t="s">
        <v>1799</v>
      </c>
      <c r="BL5" s="407" t="s">
        <v>2628</v>
      </c>
      <c r="BM5" s="456">
        <v>1</v>
      </c>
      <c r="BN5" s="407" t="s">
        <v>1765</v>
      </c>
      <c r="BO5" s="407" t="s">
        <v>1765</v>
      </c>
      <c r="BP5" s="407" t="s">
        <v>1765</v>
      </c>
      <c r="BQ5" t="s">
        <v>31</v>
      </c>
      <c r="BR5" s="407"/>
      <c r="BS5" s="419"/>
      <c r="BT5" s="445"/>
      <c r="BU5" s="445"/>
      <c r="BV5" s="445"/>
      <c r="BW5" s="445"/>
      <c r="BX5" s="445"/>
      <c r="BY5" s="445"/>
    </row>
    <row r="6" spans="1:77" ht="15">
      <c r="A6" t="s">
        <v>31</v>
      </c>
      <c r="B6" t="s">
        <v>19</v>
      </c>
      <c r="C6" s="401" t="s">
        <v>31</v>
      </c>
      <c r="D6" s="452">
        <v>0</v>
      </c>
      <c r="E6" t="s">
        <v>1718</v>
      </c>
      <c r="F6" s="452">
        <v>2</v>
      </c>
      <c r="G6" t="s">
        <v>1661</v>
      </c>
      <c r="H6" s="456">
        <v>90</v>
      </c>
      <c r="I6" t="s">
        <v>1532</v>
      </c>
      <c r="J6" s="452">
        <v>2.6</v>
      </c>
      <c r="K6" s="452">
        <v>848</v>
      </c>
      <c r="L6" s="452">
        <v>0</v>
      </c>
      <c r="M6" s="452">
        <v>1</v>
      </c>
      <c r="N6" s="452">
        <v>145</v>
      </c>
      <c r="O6" s="452">
        <v>0</v>
      </c>
      <c r="P6" s="452">
        <v>0</v>
      </c>
      <c r="Q6" s="452">
        <v>10</v>
      </c>
      <c r="R6" s="452">
        <v>8</v>
      </c>
      <c r="S6" s="452">
        <v>18</v>
      </c>
      <c r="T6" s="452">
        <v>280</v>
      </c>
      <c r="U6" s="452">
        <v>3</v>
      </c>
      <c r="V6" s="452">
        <v>15</v>
      </c>
      <c r="W6" s="452">
        <v>191</v>
      </c>
      <c r="X6" s="402">
        <v>0.79</v>
      </c>
      <c r="Y6" s="456">
        <v>671</v>
      </c>
      <c r="Z6" s="403">
        <v>273</v>
      </c>
      <c r="AA6" s="404">
        <v>82.662999999999997</v>
      </c>
      <c r="AB6" s="404">
        <v>32.786000000000001</v>
      </c>
      <c r="AC6" s="452">
        <v>38</v>
      </c>
      <c r="AD6"/>
      <c r="AE6" s="314" t="s">
        <v>1800</v>
      </c>
      <c r="AF6" s="452">
        <v>1</v>
      </c>
      <c r="AG6" s="405">
        <v>43101</v>
      </c>
      <c r="AH6"/>
      <c r="AI6"/>
      <c r="AJ6" s="400">
        <v>43102</v>
      </c>
      <c r="AK6"/>
      <c r="AL6" s="396" t="s">
        <v>927</v>
      </c>
      <c r="AM6"/>
      <c r="AN6"/>
      <c r="AO6" s="456">
        <v>55466.873</v>
      </c>
      <c r="AP6" s="452">
        <v>556620</v>
      </c>
      <c r="AQ6" s="406" t="s">
        <v>1719</v>
      </c>
      <c r="AR6"/>
      <c r="AS6"/>
      <c r="AT6"/>
      <c r="AU6"/>
      <c r="AV6"/>
      <c r="AW6"/>
      <c r="AX6"/>
      <c r="AY6" t="s">
        <v>1720</v>
      </c>
      <c r="AZ6"/>
      <c r="BA6"/>
      <c r="BB6" t="s">
        <v>1726</v>
      </c>
      <c r="BC6" s="456">
        <v>12</v>
      </c>
      <c r="BD6"/>
      <c r="BE6" s="487">
        <v>5</v>
      </c>
      <c r="BF6" s="488">
        <v>40</v>
      </c>
      <c r="BG6" s="395" t="s">
        <v>1764</v>
      </c>
      <c r="BH6" s="456">
        <v>1.1000000000000001</v>
      </c>
      <c r="BI6" s="452"/>
      <c r="BJ6" s="452">
        <v>4</v>
      </c>
      <c r="BK6" s="456" t="s">
        <v>1801</v>
      </c>
      <c r="BL6" s="407" t="s">
        <v>2629</v>
      </c>
      <c r="BM6" s="456">
        <v>1</v>
      </c>
      <c r="BN6" s="407" t="s">
        <v>1765</v>
      </c>
      <c r="BO6" s="407" t="s">
        <v>1765</v>
      </c>
      <c r="BP6" s="407" t="s">
        <v>1765</v>
      </c>
      <c r="BQ6" t="s">
        <v>31</v>
      </c>
      <c r="BR6" s="407"/>
      <c r="BS6" s="419"/>
      <c r="BT6" s="445"/>
      <c r="BU6" s="445"/>
      <c r="BV6" s="445"/>
      <c r="BW6" s="445"/>
      <c r="BX6" s="445"/>
      <c r="BY6" s="445"/>
    </row>
    <row r="7" spans="1:77" ht="15">
      <c r="A7" t="s">
        <v>31</v>
      </c>
      <c r="B7" t="s">
        <v>85</v>
      </c>
      <c r="C7" s="401" t="s">
        <v>31</v>
      </c>
      <c r="D7" s="452">
        <v>0</v>
      </c>
      <c r="E7" t="s">
        <v>1716</v>
      </c>
      <c r="F7" s="452">
        <v>2</v>
      </c>
      <c r="G7" t="s">
        <v>1661</v>
      </c>
      <c r="H7" s="456">
        <v>84</v>
      </c>
      <c r="I7" t="s">
        <v>1686</v>
      </c>
      <c r="J7" s="452">
        <v>2.1</v>
      </c>
      <c r="K7" s="452">
        <v>1532</v>
      </c>
      <c r="L7" s="452">
        <v>0</v>
      </c>
      <c r="M7" s="452">
        <v>20</v>
      </c>
      <c r="N7" s="452">
        <v>318</v>
      </c>
      <c r="O7" s="452">
        <v>0</v>
      </c>
      <c r="P7" s="452">
        <v>0</v>
      </c>
      <c r="Q7" s="452">
        <v>0</v>
      </c>
      <c r="R7" s="452">
        <v>0</v>
      </c>
      <c r="S7" s="452">
        <v>70</v>
      </c>
      <c r="T7" s="452">
        <v>321</v>
      </c>
      <c r="U7" s="452">
        <v>0</v>
      </c>
      <c r="V7" s="452">
        <v>57</v>
      </c>
      <c r="W7" s="452">
        <v>224</v>
      </c>
      <c r="X7" s="402">
        <v>0.66</v>
      </c>
      <c r="Y7" s="456">
        <v>1010</v>
      </c>
      <c r="Z7" s="403">
        <v>513</v>
      </c>
      <c r="AA7" s="404">
        <v>75.16</v>
      </c>
      <c r="AB7" s="404">
        <v>34.118000000000002</v>
      </c>
      <c r="AC7" s="452">
        <v>67</v>
      </c>
      <c r="AD7"/>
      <c r="AE7" s="314" t="s">
        <v>1802</v>
      </c>
      <c r="AF7" s="452">
        <v>1</v>
      </c>
      <c r="AG7" s="405">
        <v>43101</v>
      </c>
      <c r="AH7"/>
      <c r="AI7"/>
      <c r="AJ7" s="400">
        <v>43102</v>
      </c>
      <c r="AK7"/>
      <c r="AL7" s="408" t="s">
        <v>931</v>
      </c>
      <c r="AM7"/>
      <c r="AN7"/>
      <c r="AO7" s="456">
        <v>75911.600000000006</v>
      </c>
      <c r="AP7" s="452">
        <v>556621</v>
      </c>
      <c r="AQ7" s="406">
        <v>43077</v>
      </c>
      <c r="AR7"/>
      <c r="AS7"/>
      <c r="AT7"/>
      <c r="AU7"/>
      <c r="AV7"/>
      <c r="AW7"/>
      <c r="AX7"/>
      <c r="AY7" t="s">
        <v>1717</v>
      </c>
      <c r="AZ7"/>
      <c r="BA7"/>
      <c r="BB7" t="s">
        <v>1727</v>
      </c>
      <c r="BC7" s="456">
        <v>12</v>
      </c>
      <c r="BD7"/>
      <c r="BE7" s="487">
        <v>5</v>
      </c>
      <c r="BF7" s="488">
        <v>40</v>
      </c>
      <c r="BG7" s="395" t="s">
        <v>1764</v>
      </c>
      <c r="BH7" s="456">
        <v>1.1000000000000001</v>
      </c>
      <c r="BI7" s="452"/>
      <c r="BJ7" s="452">
        <v>1</v>
      </c>
      <c r="BK7" s="490" t="s">
        <v>1803</v>
      </c>
      <c r="BL7" s="314" t="s">
        <v>2630</v>
      </c>
      <c r="BM7" s="456">
        <v>1</v>
      </c>
      <c r="BN7" s="407" t="s">
        <v>1765</v>
      </c>
      <c r="BO7" s="407" t="s">
        <v>1765</v>
      </c>
      <c r="BP7" s="407" t="s">
        <v>1765</v>
      </c>
      <c r="BQ7" t="s">
        <v>31</v>
      </c>
      <c r="BR7" s="407"/>
      <c r="BS7" s="419"/>
      <c r="BT7" s="445"/>
      <c r="BU7" s="445"/>
      <c r="BV7" s="445"/>
      <c r="BW7" s="445"/>
      <c r="BX7" s="445"/>
      <c r="BY7" s="445"/>
    </row>
    <row r="8" spans="1:77" ht="15">
      <c r="A8" t="s">
        <v>31</v>
      </c>
      <c r="B8" t="s">
        <v>85</v>
      </c>
      <c r="C8" s="401" t="s">
        <v>31</v>
      </c>
      <c r="D8" s="452">
        <v>0</v>
      </c>
      <c r="E8" t="s">
        <v>1718</v>
      </c>
      <c r="F8" s="452">
        <v>3</v>
      </c>
      <c r="G8" t="s">
        <v>1661</v>
      </c>
      <c r="H8" s="456">
        <v>85</v>
      </c>
      <c r="I8" t="s">
        <v>1685</v>
      </c>
      <c r="J8" s="452">
        <v>1.4</v>
      </c>
      <c r="K8" s="452">
        <v>1393</v>
      </c>
      <c r="L8" s="452">
        <v>0</v>
      </c>
      <c r="M8" s="452">
        <v>0</v>
      </c>
      <c r="N8" s="452">
        <v>65</v>
      </c>
      <c r="O8" s="452">
        <v>0</v>
      </c>
      <c r="P8" s="452">
        <v>0</v>
      </c>
      <c r="Q8" s="452">
        <v>0</v>
      </c>
      <c r="R8" s="452">
        <v>1</v>
      </c>
      <c r="S8" s="452">
        <v>0</v>
      </c>
      <c r="T8" s="452">
        <v>246</v>
      </c>
      <c r="U8" s="452">
        <v>0</v>
      </c>
      <c r="V8" s="452">
        <v>0</v>
      </c>
      <c r="W8" s="452">
        <v>165</v>
      </c>
      <c r="X8" s="402">
        <v>0.34</v>
      </c>
      <c r="Y8" s="456">
        <v>477</v>
      </c>
      <c r="Z8" s="403">
        <v>369</v>
      </c>
      <c r="AA8" s="404">
        <v>113.625</v>
      </c>
      <c r="AB8" s="404">
        <v>58.695</v>
      </c>
      <c r="AC8" s="452">
        <v>40</v>
      </c>
      <c r="AD8"/>
      <c r="AE8" s="314" t="s">
        <v>1804</v>
      </c>
      <c r="AF8" s="452">
        <v>1</v>
      </c>
      <c r="AG8" s="405">
        <v>43101</v>
      </c>
      <c r="AH8"/>
      <c r="AI8"/>
      <c r="AJ8" s="400">
        <v>43102</v>
      </c>
      <c r="AK8"/>
      <c r="AL8" s="408" t="s">
        <v>931</v>
      </c>
      <c r="AM8"/>
      <c r="AN8"/>
      <c r="AO8" s="456">
        <v>54199.125</v>
      </c>
      <c r="AP8" s="452">
        <v>556621</v>
      </c>
      <c r="AQ8" s="406">
        <v>43077</v>
      </c>
      <c r="AR8"/>
      <c r="AS8"/>
      <c r="AT8"/>
      <c r="AU8"/>
      <c r="AV8"/>
      <c r="AW8"/>
      <c r="AX8"/>
      <c r="AY8" t="s">
        <v>1717</v>
      </c>
      <c r="AZ8"/>
      <c r="BA8"/>
      <c r="BB8" t="s">
        <v>1727</v>
      </c>
      <c r="BC8" s="456">
        <v>12</v>
      </c>
      <c r="BD8"/>
      <c r="BE8" s="487">
        <v>5</v>
      </c>
      <c r="BF8" s="488">
        <v>40</v>
      </c>
      <c r="BG8" s="395" t="s">
        <v>1764</v>
      </c>
      <c r="BH8" s="456">
        <v>1</v>
      </c>
      <c r="BI8" s="452"/>
      <c r="BJ8" s="452">
        <v>2</v>
      </c>
      <c r="BK8" s="456" t="s">
        <v>1805</v>
      </c>
      <c r="BL8" s="314" t="s">
        <v>2631</v>
      </c>
      <c r="BM8" s="456">
        <v>1</v>
      </c>
      <c r="BN8" s="407" t="s">
        <v>1765</v>
      </c>
      <c r="BO8" s="407" t="s">
        <v>1765</v>
      </c>
      <c r="BP8" s="407" t="s">
        <v>1765</v>
      </c>
      <c r="BQ8" t="s">
        <v>31</v>
      </c>
      <c r="BR8" s="407"/>
      <c r="BS8" s="419"/>
      <c r="BT8" s="445"/>
      <c r="BU8" s="445"/>
      <c r="BV8" s="445"/>
      <c r="BW8" s="445"/>
      <c r="BX8" s="445"/>
      <c r="BY8" s="445"/>
    </row>
    <row r="9" spans="1:77" ht="15">
      <c r="A9" t="s">
        <v>31</v>
      </c>
      <c r="B9" t="s">
        <v>132</v>
      </c>
      <c r="C9" s="401" t="s">
        <v>31</v>
      </c>
      <c r="D9" s="452">
        <v>0</v>
      </c>
      <c r="E9" t="s">
        <v>1718</v>
      </c>
      <c r="F9" s="452">
        <v>2</v>
      </c>
      <c r="G9" t="s">
        <v>1661</v>
      </c>
      <c r="H9" s="456">
        <v>54</v>
      </c>
      <c r="I9" t="s">
        <v>1688</v>
      </c>
      <c r="J9" s="452">
        <v>4.3</v>
      </c>
      <c r="K9" s="452">
        <v>2002</v>
      </c>
      <c r="L9" s="452">
        <v>0</v>
      </c>
      <c r="M9" s="452">
        <v>0</v>
      </c>
      <c r="N9" s="452">
        <v>678</v>
      </c>
      <c r="O9" s="452">
        <v>0</v>
      </c>
      <c r="P9" s="452">
        <v>0</v>
      </c>
      <c r="Q9" s="452">
        <v>55</v>
      </c>
      <c r="R9" s="452">
        <v>49</v>
      </c>
      <c r="S9" s="452">
        <v>2</v>
      </c>
      <c r="T9" s="452">
        <v>520</v>
      </c>
      <c r="U9" s="452">
        <v>17</v>
      </c>
      <c r="V9" s="452">
        <v>2</v>
      </c>
      <c r="W9" s="452">
        <v>351</v>
      </c>
      <c r="X9" s="402">
        <v>0.84</v>
      </c>
      <c r="Y9" s="456">
        <v>1674</v>
      </c>
      <c r="Z9" s="403">
        <v>413</v>
      </c>
      <c r="AA9" s="404">
        <v>68.474999999999994</v>
      </c>
      <c r="AB9" s="404">
        <v>29.978000000000002</v>
      </c>
      <c r="AC9" s="452">
        <v>104</v>
      </c>
      <c r="AD9"/>
      <c r="AE9" s="314" t="s">
        <v>1806</v>
      </c>
      <c r="AF9" s="452">
        <v>1</v>
      </c>
      <c r="AG9" s="405">
        <v>43101</v>
      </c>
      <c r="AH9"/>
      <c r="AI9"/>
      <c r="AJ9" s="400">
        <v>43102</v>
      </c>
      <c r="AK9"/>
      <c r="AL9" s="396" t="s">
        <v>888</v>
      </c>
      <c r="AM9"/>
      <c r="AN9"/>
      <c r="AO9" s="456">
        <v>114627.15</v>
      </c>
      <c r="AP9" s="452">
        <v>556617</v>
      </c>
      <c r="AQ9" s="406" t="s">
        <v>1719</v>
      </c>
      <c r="AR9"/>
      <c r="AS9"/>
      <c r="AT9"/>
      <c r="AU9"/>
      <c r="AV9"/>
      <c r="AW9"/>
      <c r="AX9"/>
      <c r="AY9" t="s">
        <v>1720</v>
      </c>
      <c r="AZ9"/>
      <c r="BA9"/>
      <c r="BB9" t="s">
        <v>1726</v>
      </c>
      <c r="BC9" s="456">
        <v>12</v>
      </c>
      <c r="BD9"/>
      <c r="BE9" s="487">
        <v>5</v>
      </c>
      <c r="BF9" s="488">
        <v>40</v>
      </c>
      <c r="BG9" s="395" t="s">
        <v>1764</v>
      </c>
      <c r="BH9" s="456">
        <v>1.1000000000000001</v>
      </c>
      <c r="BI9" s="452"/>
      <c r="BJ9" s="452">
        <v>1</v>
      </c>
      <c r="BK9" s="456" t="s">
        <v>1807</v>
      </c>
      <c r="BL9" s="407" t="s">
        <v>2632</v>
      </c>
      <c r="BM9" s="456">
        <v>1</v>
      </c>
      <c r="BN9" s="407" t="s">
        <v>1765</v>
      </c>
      <c r="BO9" s="407" t="s">
        <v>1765</v>
      </c>
      <c r="BP9" s="407" t="s">
        <v>1765</v>
      </c>
      <c r="BQ9" t="s">
        <v>31</v>
      </c>
      <c r="BR9" s="407"/>
      <c r="BS9" s="419"/>
      <c r="BT9" s="445"/>
      <c r="BU9" s="445"/>
      <c r="BV9" s="445"/>
      <c r="BW9" s="445"/>
      <c r="BX9" s="445"/>
      <c r="BY9" s="445"/>
    </row>
    <row r="10" spans="1:77" ht="15">
      <c r="A10" t="s">
        <v>31</v>
      </c>
      <c r="B10" t="s">
        <v>132</v>
      </c>
      <c r="C10" s="401" t="s">
        <v>31</v>
      </c>
      <c r="D10" s="452">
        <v>0</v>
      </c>
      <c r="E10" t="s">
        <v>1716</v>
      </c>
      <c r="F10" s="452">
        <v>2</v>
      </c>
      <c r="G10" t="s">
        <v>1661</v>
      </c>
      <c r="H10" s="456">
        <v>76</v>
      </c>
      <c r="I10" t="s">
        <v>1663</v>
      </c>
      <c r="J10" s="452">
        <v>1</v>
      </c>
      <c r="K10" s="452">
        <v>490</v>
      </c>
      <c r="L10" s="452">
        <v>0</v>
      </c>
      <c r="M10" s="452">
        <v>0</v>
      </c>
      <c r="N10" s="452">
        <v>103</v>
      </c>
      <c r="O10" s="452">
        <v>0</v>
      </c>
      <c r="P10" s="452">
        <v>0</v>
      </c>
      <c r="Q10" s="452">
        <v>0</v>
      </c>
      <c r="R10" s="452">
        <v>9</v>
      </c>
      <c r="S10" s="452">
        <v>1</v>
      </c>
      <c r="T10" s="452">
        <v>135</v>
      </c>
      <c r="U10" s="452">
        <v>3</v>
      </c>
      <c r="V10" s="452">
        <v>1</v>
      </c>
      <c r="W10" s="452">
        <v>96</v>
      </c>
      <c r="X10" s="402">
        <v>0.71</v>
      </c>
      <c r="Y10" s="456">
        <v>348</v>
      </c>
      <c r="Z10" s="403">
        <v>373</v>
      </c>
      <c r="AA10" s="404">
        <v>78.534999999999997</v>
      </c>
      <c r="AB10" s="404">
        <v>34.244999999999997</v>
      </c>
      <c r="AC10" s="452">
        <v>25</v>
      </c>
      <c r="AD10"/>
      <c r="AE10" s="314" t="s">
        <v>1808</v>
      </c>
      <c r="AF10" s="452">
        <v>1</v>
      </c>
      <c r="AG10" s="405">
        <v>43101</v>
      </c>
      <c r="AH10"/>
      <c r="AI10"/>
      <c r="AJ10" s="400">
        <v>43102</v>
      </c>
      <c r="AK10"/>
      <c r="AL10" s="396" t="s">
        <v>888</v>
      </c>
      <c r="AM10"/>
      <c r="AN10"/>
      <c r="AO10" s="456">
        <v>27330.18</v>
      </c>
      <c r="AP10" s="452">
        <v>556617</v>
      </c>
      <c r="AQ10" s="406" t="s">
        <v>1719</v>
      </c>
      <c r="AR10"/>
      <c r="AS10"/>
      <c r="AT10"/>
      <c r="AU10"/>
      <c r="AV10"/>
      <c r="AW10"/>
      <c r="AX10"/>
      <c r="AY10" t="s">
        <v>1720</v>
      </c>
      <c r="AZ10"/>
      <c r="BA10"/>
      <c r="BB10" t="s">
        <v>1726</v>
      </c>
      <c r="BC10" s="456">
        <v>12</v>
      </c>
      <c r="BD10"/>
      <c r="BE10" s="487">
        <v>5</v>
      </c>
      <c r="BF10" s="488">
        <v>40</v>
      </c>
      <c r="BG10" s="395" t="s">
        <v>1764</v>
      </c>
      <c r="BH10" s="456">
        <v>1.1000000000000001</v>
      </c>
      <c r="BI10" s="452"/>
      <c r="BJ10" s="452">
        <v>2</v>
      </c>
      <c r="BK10" s="456" t="s">
        <v>1809</v>
      </c>
      <c r="BL10" s="407" t="s">
        <v>2633</v>
      </c>
      <c r="BM10" s="456">
        <v>1</v>
      </c>
      <c r="BN10" s="407" t="s">
        <v>1765</v>
      </c>
      <c r="BO10" s="407" t="s">
        <v>1765</v>
      </c>
      <c r="BP10" s="407" t="s">
        <v>1765</v>
      </c>
      <c r="BQ10" t="s">
        <v>31</v>
      </c>
      <c r="BR10" s="407"/>
      <c r="BS10" s="419"/>
      <c r="BT10" s="445"/>
      <c r="BU10" s="445"/>
      <c r="BV10" s="445"/>
      <c r="BW10" s="445"/>
      <c r="BX10" s="445"/>
      <c r="BY10" s="445"/>
    </row>
    <row r="11" spans="1:77" ht="15">
      <c r="A11" t="s">
        <v>31</v>
      </c>
      <c r="B11" t="s">
        <v>177</v>
      </c>
      <c r="C11" s="401" t="s">
        <v>31</v>
      </c>
      <c r="D11" s="452">
        <v>0</v>
      </c>
      <c r="E11" t="s">
        <v>1716</v>
      </c>
      <c r="F11" s="452">
        <v>3</v>
      </c>
      <c r="G11" t="s">
        <v>1661</v>
      </c>
      <c r="H11" s="456">
        <v>65</v>
      </c>
      <c r="I11" t="s">
        <v>1532</v>
      </c>
      <c r="J11" s="452">
        <v>3.5</v>
      </c>
      <c r="K11" s="452">
        <v>1317</v>
      </c>
      <c r="L11" s="452">
        <v>0</v>
      </c>
      <c r="M11" s="452">
        <v>0</v>
      </c>
      <c r="N11" s="452">
        <v>322</v>
      </c>
      <c r="O11" s="452">
        <v>0</v>
      </c>
      <c r="P11" s="452">
        <v>0</v>
      </c>
      <c r="Q11" s="452">
        <v>20</v>
      </c>
      <c r="R11" s="452">
        <v>83</v>
      </c>
      <c r="S11" s="452">
        <v>0</v>
      </c>
      <c r="T11" s="452">
        <v>176</v>
      </c>
      <c r="U11" s="452">
        <v>28</v>
      </c>
      <c r="V11" s="452">
        <v>0</v>
      </c>
      <c r="W11" s="452">
        <v>120</v>
      </c>
      <c r="X11" s="402">
        <v>0.56999999999999995</v>
      </c>
      <c r="Y11" s="456">
        <v>749</v>
      </c>
      <c r="Z11" s="403">
        <v>232</v>
      </c>
      <c r="AA11" s="404">
        <v>88.450999999999993</v>
      </c>
      <c r="AB11" s="404">
        <v>44.612000000000002</v>
      </c>
      <c r="AC11" s="452">
        <v>63</v>
      </c>
      <c r="AD11"/>
      <c r="AE11" s="314" t="s">
        <v>1810</v>
      </c>
      <c r="AF11" s="452">
        <v>1</v>
      </c>
      <c r="AG11" s="405">
        <v>43101</v>
      </c>
      <c r="AH11"/>
      <c r="AI11"/>
      <c r="AJ11" s="400">
        <v>43102</v>
      </c>
      <c r="AK11"/>
      <c r="AL11" t="s">
        <v>913</v>
      </c>
      <c r="AM11"/>
      <c r="AN11"/>
      <c r="AO11" s="456">
        <v>66249.798999999999</v>
      </c>
      <c r="AP11" s="452">
        <v>556619</v>
      </c>
      <c r="AQ11" s="406">
        <v>43077</v>
      </c>
      <c r="AR11"/>
      <c r="AS11"/>
      <c r="AT11"/>
      <c r="AU11"/>
      <c r="AV11"/>
      <c r="AW11"/>
      <c r="AX11"/>
      <c r="AY11" t="s">
        <v>1717</v>
      </c>
      <c r="AZ11"/>
      <c r="BA11"/>
      <c r="BB11" t="s">
        <v>1727</v>
      </c>
      <c r="BC11" s="456">
        <v>12</v>
      </c>
      <c r="BD11"/>
      <c r="BE11" s="487">
        <v>5</v>
      </c>
      <c r="BF11" s="488">
        <v>40</v>
      </c>
      <c r="BG11" s="395" t="s">
        <v>1764</v>
      </c>
      <c r="BH11" s="456">
        <v>1</v>
      </c>
      <c r="BI11" s="452"/>
      <c r="BJ11" s="452">
        <v>1</v>
      </c>
      <c r="BK11" s="456" t="s">
        <v>1811</v>
      </c>
      <c r="BL11" s="314" t="s">
        <v>2634</v>
      </c>
      <c r="BM11" s="456">
        <v>1</v>
      </c>
      <c r="BN11" s="407" t="s">
        <v>1765</v>
      </c>
      <c r="BO11" s="407" t="s">
        <v>1765</v>
      </c>
      <c r="BP11" s="407" t="s">
        <v>1765</v>
      </c>
      <c r="BQ11" t="s">
        <v>31</v>
      </c>
      <c r="BR11" s="407"/>
      <c r="BS11" s="419"/>
      <c r="BT11" s="445"/>
      <c r="BU11" s="445"/>
      <c r="BV11" s="445"/>
      <c r="BW11" s="445"/>
      <c r="BX11" s="445"/>
      <c r="BY11" s="445"/>
    </row>
    <row r="12" spans="1:77" ht="15">
      <c r="A12" t="s">
        <v>31</v>
      </c>
      <c r="B12" t="s">
        <v>216</v>
      </c>
      <c r="C12" s="401" t="s">
        <v>31</v>
      </c>
      <c r="D12" s="452">
        <v>0</v>
      </c>
      <c r="E12" t="s">
        <v>1716</v>
      </c>
      <c r="F12" s="452">
        <v>3</v>
      </c>
      <c r="G12" t="s">
        <v>1661</v>
      </c>
      <c r="H12" s="456">
        <v>59</v>
      </c>
      <c r="I12" t="s">
        <v>1721</v>
      </c>
      <c r="J12" s="452">
        <v>2.7</v>
      </c>
      <c r="K12" s="452">
        <v>1597</v>
      </c>
      <c r="L12" s="452">
        <v>0</v>
      </c>
      <c r="M12" s="452">
        <v>19</v>
      </c>
      <c r="N12" s="452">
        <v>329</v>
      </c>
      <c r="O12" s="452">
        <v>0</v>
      </c>
      <c r="P12" s="452">
        <v>0</v>
      </c>
      <c r="Q12" s="452">
        <v>0</v>
      </c>
      <c r="R12" s="452">
        <v>91</v>
      </c>
      <c r="S12" s="452">
        <v>23</v>
      </c>
      <c r="T12" s="452">
        <v>224</v>
      </c>
      <c r="U12" s="452">
        <v>30</v>
      </c>
      <c r="V12" s="452">
        <v>19</v>
      </c>
      <c r="W12" s="452">
        <v>151</v>
      </c>
      <c r="X12" s="402">
        <v>0.55000000000000004</v>
      </c>
      <c r="Y12" s="456">
        <v>886</v>
      </c>
      <c r="Z12" s="403">
        <v>352</v>
      </c>
      <c r="AA12" s="404">
        <v>82.95</v>
      </c>
      <c r="AB12" s="404">
        <v>41.622999999999998</v>
      </c>
      <c r="AC12" s="452">
        <v>65</v>
      </c>
      <c r="AD12"/>
      <c r="AE12" s="314" t="s">
        <v>1812</v>
      </c>
      <c r="AF12" s="452">
        <v>1</v>
      </c>
      <c r="AG12" s="405">
        <v>43101</v>
      </c>
      <c r="AH12"/>
      <c r="AI12"/>
      <c r="AJ12" s="400">
        <v>43102</v>
      </c>
      <c r="AK12"/>
      <c r="AL12" s="396" t="s">
        <v>929</v>
      </c>
      <c r="AM12"/>
      <c r="AN12"/>
      <c r="AO12" s="456">
        <v>73493.7</v>
      </c>
      <c r="AP12" s="452">
        <v>556618</v>
      </c>
      <c r="AQ12" s="406" t="s">
        <v>1719</v>
      </c>
      <c r="AR12"/>
      <c r="AS12"/>
      <c r="AT12"/>
      <c r="AU12"/>
      <c r="AV12"/>
      <c r="AW12"/>
      <c r="AX12"/>
      <c r="AY12" t="s">
        <v>1720</v>
      </c>
      <c r="AZ12"/>
      <c r="BA12"/>
      <c r="BB12" t="s">
        <v>1726</v>
      </c>
      <c r="BC12" s="456">
        <v>12</v>
      </c>
      <c r="BD12"/>
      <c r="BE12" s="487">
        <v>5</v>
      </c>
      <c r="BF12" s="488">
        <v>40</v>
      </c>
      <c r="BG12" s="395" t="s">
        <v>1764</v>
      </c>
      <c r="BH12" s="456">
        <v>1</v>
      </c>
      <c r="BI12" s="452"/>
      <c r="BJ12" s="452">
        <v>1</v>
      </c>
      <c r="BK12" s="456" t="s">
        <v>1813</v>
      </c>
      <c r="BL12" s="407" t="s">
        <v>2635</v>
      </c>
      <c r="BM12" s="456">
        <v>1</v>
      </c>
      <c r="BN12" s="407" t="s">
        <v>1765</v>
      </c>
      <c r="BO12" s="407" t="s">
        <v>1765</v>
      </c>
      <c r="BP12" s="407" t="s">
        <v>1765</v>
      </c>
      <c r="BQ12" t="s">
        <v>31</v>
      </c>
      <c r="BR12" s="407"/>
      <c r="BS12" s="419"/>
      <c r="BT12" s="445"/>
      <c r="BU12" s="445"/>
      <c r="BV12" s="445"/>
      <c r="BW12" s="445"/>
      <c r="BX12" s="445"/>
      <c r="BY12" s="445"/>
    </row>
    <row r="13" spans="1:77" ht="15">
      <c r="A13" t="s">
        <v>31</v>
      </c>
      <c r="B13" t="s">
        <v>216</v>
      </c>
      <c r="C13" s="401" t="s">
        <v>31</v>
      </c>
      <c r="D13" s="452">
        <v>0</v>
      </c>
      <c r="E13" t="s">
        <v>1716</v>
      </c>
      <c r="F13" s="452">
        <v>3</v>
      </c>
      <c r="G13" t="s">
        <v>1661</v>
      </c>
      <c r="H13" s="456">
        <v>85</v>
      </c>
      <c r="I13" t="s">
        <v>1715</v>
      </c>
      <c r="J13" s="452">
        <v>3</v>
      </c>
      <c r="K13" s="452">
        <v>1386</v>
      </c>
      <c r="L13" s="452">
        <v>0</v>
      </c>
      <c r="M13" s="452">
        <v>298</v>
      </c>
      <c r="N13" s="452">
        <v>12</v>
      </c>
      <c r="O13" s="452">
        <v>0</v>
      </c>
      <c r="P13" s="452">
        <v>0</v>
      </c>
      <c r="Q13" s="452">
        <v>0</v>
      </c>
      <c r="R13" s="452">
        <v>0</v>
      </c>
      <c r="S13" s="452">
        <v>94</v>
      </c>
      <c r="T13" s="452">
        <v>130</v>
      </c>
      <c r="U13" s="452">
        <v>0</v>
      </c>
      <c r="V13" s="452">
        <v>65</v>
      </c>
      <c r="W13" s="452">
        <v>94</v>
      </c>
      <c r="X13" s="402">
        <v>0.5</v>
      </c>
      <c r="Y13" s="456">
        <v>693</v>
      </c>
      <c r="Z13" s="403">
        <v>253</v>
      </c>
      <c r="AA13" s="404">
        <v>84.65</v>
      </c>
      <c r="AB13" s="404">
        <v>42.780999999999999</v>
      </c>
      <c r="AC13" s="452">
        <v>67</v>
      </c>
      <c r="AD13"/>
      <c r="AE13" s="314" t="s">
        <v>1814</v>
      </c>
      <c r="AF13" s="452">
        <v>1</v>
      </c>
      <c r="AG13" s="405">
        <v>43101</v>
      </c>
      <c r="AH13"/>
      <c r="AI13"/>
      <c r="AJ13" s="400">
        <v>43102</v>
      </c>
      <c r="AK13"/>
      <c r="AL13" s="396" t="s">
        <v>929</v>
      </c>
      <c r="AM13"/>
      <c r="AN13"/>
      <c r="AO13" s="456">
        <v>58662.45</v>
      </c>
      <c r="AP13" s="452">
        <v>556618</v>
      </c>
      <c r="AQ13" s="406" t="s">
        <v>1719</v>
      </c>
      <c r="AR13"/>
      <c r="AS13"/>
      <c r="AT13"/>
      <c r="AU13"/>
      <c r="AV13"/>
      <c r="AW13"/>
      <c r="AX13"/>
      <c r="AY13" t="s">
        <v>1720</v>
      </c>
      <c r="AZ13"/>
      <c r="BA13"/>
      <c r="BB13" t="s">
        <v>1726</v>
      </c>
      <c r="BC13" s="456">
        <v>12</v>
      </c>
      <c r="BD13"/>
      <c r="BE13" s="487">
        <v>5</v>
      </c>
      <c r="BF13" s="488">
        <v>40</v>
      </c>
      <c r="BG13" s="395" t="s">
        <v>1764</v>
      </c>
      <c r="BH13" s="456">
        <v>1</v>
      </c>
      <c r="BI13" s="452"/>
      <c r="BJ13" s="452">
        <v>2</v>
      </c>
      <c r="BK13" s="456" t="s">
        <v>1815</v>
      </c>
      <c r="BL13" s="407" t="s">
        <v>2636</v>
      </c>
      <c r="BM13" s="456">
        <v>1</v>
      </c>
      <c r="BN13" s="407" t="s">
        <v>1765</v>
      </c>
      <c r="BO13" s="407" t="s">
        <v>1765</v>
      </c>
      <c r="BP13" s="407" t="s">
        <v>1765</v>
      </c>
      <c r="BQ13" t="s">
        <v>31</v>
      </c>
      <c r="BR13" s="407"/>
      <c r="BS13" s="419"/>
      <c r="BT13" s="445"/>
      <c r="BU13" s="445"/>
      <c r="BV13" s="445"/>
      <c r="BW13" s="445"/>
      <c r="BX13" s="445"/>
      <c r="BY13" s="445"/>
    </row>
    <row r="14" spans="1:77" ht="15">
      <c r="A14" t="s">
        <v>31</v>
      </c>
      <c r="B14" t="s">
        <v>296</v>
      </c>
      <c r="C14" s="401" t="s">
        <v>31</v>
      </c>
      <c r="D14" s="452">
        <v>0</v>
      </c>
      <c r="E14" t="s">
        <v>1718</v>
      </c>
      <c r="F14" s="452">
        <v>2</v>
      </c>
      <c r="G14" t="s">
        <v>1661</v>
      </c>
      <c r="H14" s="456">
        <v>121</v>
      </c>
      <c r="I14" t="s">
        <v>1692</v>
      </c>
      <c r="J14" s="452">
        <v>2.6</v>
      </c>
      <c r="K14" s="452">
        <v>982</v>
      </c>
      <c r="L14" s="452">
        <v>4</v>
      </c>
      <c r="M14" s="452">
        <v>23</v>
      </c>
      <c r="N14" s="452">
        <v>357</v>
      </c>
      <c r="O14" s="452">
        <v>0</v>
      </c>
      <c r="P14" s="452">
        <v>0</v>
      </c>
      <c r="Q14" s="452">
        <v>32</v>
      </c>
      <c r="R14" s="452">
        <v>96</v>
      </c>
      <c r="S14" s="452">
        <v>32</v>
      </c>
      <c r="T14" s="452">
        <v>201</v>
      </c>
      <c r="U14" s="452">
        <v>33</v>
      </c>
      <c r="V14" s="452">
        <v>26</v>
      </c>
      <c r="W14" s="452">
        <v>136</v>
      </c>
      <c r="X14" s="402">
        <v>0.96</v>
      </c>
      <c r="Y14" s="456">
        <v>940</v>
      </c>
      <c r="Z14" s="403">
        <v>385</v>
      </c>
      <c r="AA14" s="404">
        <v>66.957999999999998</v>
      </c>
      <c r="AB14" s="404">
        <v>28.518000000000001</v>
      </c>
      <c r="AC14" s="452">
        <v>61</v>
      </c>
      <c r="AD14"/>
      <c r="AE14" s="314" t="s">
        <v>1816</v>
      </c>
      <c r="AF14" s="452">
        <v>1</v>
      </c>
      <c r="AG14" s="405">
        <v>43101</v>
      </c>
      <c r="AH14"/>
      <c r="AI14"/>
      <c r="AJ14" s="400">
        <v>43109</v>
      </c>
      <c r="AK14"/>
      <c r="AL14" s="396" t="s">
        <v>1025</v>
      </c>
      <c r="AM14"/>
      <c r="AN14"/>
      <c r="AO14" s="456">
        <v>62940.52</v>
      </c>
      <c r="AP14" s="452">
        <v>556618</v>
      </c>
      <c r="AQ14" s="406" t="s">
        <v>1719</v>
      </c>
      <c r="AR14"/>
      <c r="AS14"/>
      <c r="AT14"/>
      <c r="AU14"/>
      <c r="AV14"/>
      <c r="AW14"/>
      <c r="AX14"/>
      <c r="AY14" t="s">
        <v>1722</v>
      </c>
      <c r="AZ14"/>
      <c r="BA14"/>
      <c r="BB14" t="s">
        <v>1728</v>
      </c>
      <c r="BC14" s="456">
        <v>12</v>
      </c>
      <c r="BD14"/>
      <c r="BE14" s="487">
        <v>7</v>
      </c>
      <c r="BF14" s="488">
        <v>40</v>
      </c>
      <c r="BG14" s="395" t="s">
        <v>1764</v>
      </c>
      <c r="BH14" s="456">
        <v>1.1000000000000001</v>
      </c>
      <c r="BI14" s="452"/>
      <c r="BJ14" s="452">
        <v>1</v>
      </c>
      <c r="BK14" s="456" t="s">
        <v>1817</v>
      </c>
      <c r="BL14" s="407" t="s">
        <v>2637</v>
      </c>
      <c r="BM14" s="456">
        <v>1</v>
      </c>
      <c r="BN14" s="407" t="s">
        <v>1765</v>
      </c>
      <c r="BO14" s="407" t="s">
        <v>1765</v>
      </c>
      <c r="BP14" s="407" t="s">
        <v>1765</v>
      </c>
      <c r="BQ14" t="s">
        <v>31</v>
      </c>
      <c r="BR14" s="407"/>
      <c r="BS14" s="419"/>
      <c r="BT14" s="445"/>
      <c r="BU14" s="445"/>
      <c r="BV14" s="445"/>
      <c r="BW14" s="445"/>
      <c r="BX14" s="445"/>
      <c r="BY14" s="445"/>
    </row>
    <row r="15" spans="1:77" ht="15">
      <c r="A15" t="s">
        <v>1269</v>
      </c>
      <c r="B15" t="s">
        <v>85</v>
      </c>
      <c r="C15" s="401" t="s">
        <v>1619</v>
      </c>
      <c r="D15" s="452">
        <v>0</v>
      </c>
      <c r="E15" t="s">
        <v>1749</v>
      </c>
      <c r="F15" s="452">
        <v>3</v>
      </c>
      <c r="G15" t="s">
        <v>1750</v>
      </c>
      <c r="H15" s="456">
        <v>97</v>
      </c>
      <c r="I15" t="s">
        <v>1684</v>
      </c>
      <c r="J15" s="452">
        <v>10</v>
      </c>
      <c r="K15" s="452">
        <v>3388</v>
      </c>
      <c r="L15" s="452"/>
      <c r="M15" s="452">
        <v>177</v>
      </c>
      <c r="N15" s="452"/>
      <c r="O15" s="452"/>
      <c r="P15" s="452"/>
      <c r="Q15" s="452"/>
      <c r="R15" s="452"/>
      <c r="S15" s="452">
        <v>769</v>
      </c>
      <c r="T15" s="452"/>
      <c r="U15" s="452"/>
      <c r="V15" s="452">
        <v>200</v>
      </c>
      <c r="W15" s="452"/>
      <c r="X15" s="402">
        <v>0.34</v>
      </c>
      <c r="Y15" s="456">
        <v>1146</v>
      </c>
      <c r="Z15" s="403">
        <v>131</v>
      </c>
      <c r="AA15" s="404">
        <v>74.361999999999995</v>
      </c>
      <c r="AB15" s="404"/>
      <c r="AC15" s="452">
        <v>163</v>
      </c>
      <c r="AD15"/>
      <c r="AE15" s="314" t="s">
        <v>1818</v>
      </c>
      <c r="AF15" s="452">
        <v>1</v>
      </c>
      <c r="AG15" s="405">
        <v>43101</v>
      </c>
      <c r="AH15"/>
      <c r="AI15"/>
      <c r="AJ15" s="400">
        <v>43109</v>
      </c>
      <c r="AK15"/>
      <c r="AL15" s="396" t="s">
        <v>1713</v>
      </c>
      <c r="AM15"/>
      <c r="AN15"/>
      <c r="AO15" s="456">
        <v>85218.851999999999</v>
      </c>
      <c r="AP15" s="452">
        <v>556632</v>
      </c>
      <c r="AQ15" s="406">
        <v>43102</v>
      </c>
      <c r="AR15"/>
      <c r="AS15"/>
      <c r="AT15" s="257"/>
      <c r="AU15"/>
      <c r="AV15"/>
      <c r="AW15"/>
      <c r="AX15"/>
      <c r="AY15" t="s">
        <v>1717</v>
      </c>
      <c r="AZ15"/>
      <c r="BA15"/>
      <c r="BB15" t="s">
        <v>1727</v>
      </c>
      <c r="BC15" s="456">
        <v>1</v>
      </c>
      <c r="BD15"/>
      <c r="BE15" s="487"/>
      <c r="BF15" s="488"/>
      <c r="BG15" s="395"/>
      <c r="BH15" s="456">
        <v>1</v>
      </c>
      <c r="BI15" s="452"/>
      <c r="BJ15" s="452">
        <v>8</v>
      </c>
      <c r="BK15" s="456" t="s">
        <v>1819</v>
      </c>
      <c r="BL15" s="407" t="s">
        <v>2638</v>
      </c>
      <c r="BM15" s="456">
        <v>1</v>
      </c>
      <c r="BN15" s="407"/>
      <c r="BO15" s="407"/>
      <c r="BP15" s="407"/>
      <c r="BQ15" s="407" t="s">
        <v>1269</v>
      </c>
      <c r="BR15" s="407"/>
      <c r="BS15" s="419"/>
      <c r="BT15" s="445"/>
      <c r="BU15" s="445"/>
      <c r="BV15" s="445"/>
      <c r="BW15" s="445"/>
      <c r="BX15" s="445"/>
      <c r="BY15" s="445"/>
    </row>
    <row r="16" spans="1:77" ht="15">
      <c r="A16" t="s">
        <v>1269</v>
      </c>
      <c r="B16" t="s">
        <v>85</v>
      </c>
      <c r="C16" s="401" t="s">
        <v>1682</v>
      </c>
      <c r="D16" s="452">
        <v>0</v>
      </c>
      <c r="E16" t="s">
        <v>1749</v>
      </c>
      <c r="F16" s="452">
        <v>3</v>
      </c>
      <c r="G16" t="s">
        <v>1750</v>
      </c>
      <c r="H16" s="456">
        <v>38</v>
      </c>
      <c r="I16" t="s">
        <v>1664</v>
      </c>
      <c r="J16" s="452">
        <v>20.7</v>
      </c>
      <c r="K16" s="452">
        <v>976</v>
      </c>
      <c r="L16" s="452"/>
      <c r="M16" s="452">
        <v>16</v>
      </c>
      <c r="N16" s="452"/>
      <c r="O16" s="452"/>
      <c r="P16" s="452"/>
      <c r="Q16" s="452"/>
      <c r="R16" s="452"/>
      <c r="S16" s="452">
        <v>757</v>
      </c>
      <c r="T16" s="452">
        <v>91</v>
      </c>
      <c r="U16" s="452"/>
      <c r="V16" s="452">
        <v>0</v>
      </c>
      <c r="W16" s="452">
        <v>0</v>
      </c>
      <c r="X16" s="402">
        <v>0.89</v>
      </c>
      <c r="Y16" s="456">
        <v>864</v>
      </c>
      <c r="Z16" s="403">
        <v>46</v>
      </c>
      <c r="AA16" s="404">
        <v>65.938000000000002</v>
      </c>
      <c r="AB16" s="404"/>
      <c r="AC16" s="452">
        <v>87</v>
      </c>
      <c r="AD16"/>
      <c r="AE16" s="314" t="s">
        <v>1820</v>
      </c>
      <c r="AF16" s="452">
        <v>1</v>
      </c>
      <c r="AG16" s="405">
        <v>43101</v>
      </c>
      <c r="AH16"/>
      <c r="AI16"/>
      <c r="AJ16" s="400">
        <v>43109</v>
      </c>
      <c r="AK16"/>
      <c r="AL16" s="396" t="s">
        <v>910</v>
      </c>
      <c r="AM16"/>
      <c r="AN16"/>
      <c r="AO16" s="456">
        <v>56970.432000000001</v>
      </c>
      <c r="AP16" s="452">
        <v>556642</v>
      </c>
      <c r="AQ16" s="406">
        <v>43105</v>
      </c>
      <c r="AR16"/>
      <c r="AS16"/>
      <c r="AT16"/>
      <c r="AU16"/>
      <c r="AV16"/>
      <c r="AW16"/>
      <c r="AX16"/>
      <c r="AY16" t="s">
        <v>1717</v>
      </c>
      <c r="AZ16"/>
      <c r="BA16"/>
      <c r="BB16" t="s">
        <v>1727</v>
      </c>
      <c r="BC16" s="456">
        <v>1</v>
      </c>
      <c r="BD16"/>
      <c r="BE16" s="487"/>
      <c r="BF16" s="488"/>
      <c r="BG16" s="395"/>
      <c r="BH16" s="456">
        <v>1</v>
      </c>
      <c r="BI16" s="452"/>
      <c r="BJ16" s="452">
        <v>5</v>
      </c>
      <c r="BK16" s="456" t="s">
        <v>1821</v>
      </c>
      <c r="BL16" s="407" t="s">
        <v>2639</v>
      </c>
      <c r="BM16" s="456">
        <v>1</v>
      </c>
      <c r="BN16" s="407"/>
      <c r="BO16" s="407"/>
      <c r="BP16" s="407"/>
      <c r="BQ16" s="407" t="s">
        <v>1269</v>
      </c>
      <c r="BR16" s="407"/>
      <c r="BS16" s="419"/>
      <c r="BT16" s="445"/>
      <c r="BU16" s="445"/>
      <c r="BV16" s="445"/>
      <c r="BW16" s="445"/>
      <c r="BX16" s="445"/>
      <c r="BY16" s="445"/>
    </row>
    <row r="17" spans="1:77" ht="15">
      <c r="A17" t="s">
        <v>1269</v>
      </c>
      <c r="B17" t="s">
        <v>85</v>
      </c>
      <c r="C17" s="401" t="s">
        <v>1682</v>
      </c>
      <c r="D17" s="452">
        <v>0</v>
      </c>
      <c r="E17" t="s">
        <v>1716</v>
      </c>
      <c r="F17" s="452">
        <v>3</v>
      </c>
      <c r="G17" t="s">
        <v>1750</v>
      </c>
      <c r="H17" s="456">
        <v>38</v>
      </c>
      <c r="I17" t="s">
        <v>1632</v>
      </c>
      <c r="J17" s="452">
        <v>2.9</v>
      </c>
      <c r="K17" s="452">
        <v>184</v>
      </c>
      <c r="L17" s="452"/>
      <c r="M17" s="452">
        <v>4</v>
      </c>
      <c r="N17" s="452"/>
      <c r="O17" s="452"/>
      <c r="P17" s="452"/>
      <c r="Q17" s="452"/>
      <c r="R17" s="452"/>
      <c r="S17" s="452">
        <v>88</v>
      </c>
      <c r="T17" s="452">
        <v>32</v>
      </c>
      <c r="U17" s="452"/>
      <c r="V17" s="452">
        <v>0</v>
      </c>
      <c r="W17" s="452">
        <v>0</v>
      </c>
      <c r="X17" s="402">
        <v>0.67</v>
      </c>
      <c r="Y17" s="456">
        <v>124</v>
      </c>
      <c r="Z17" s="403">
        <v>47</v>
      </c>
      <c r="AA17" s="404">
        <v>68.632000000000005</v>
      </c>
      <c r="AB17" s="404"/>
      <c r="AC17" s="452">
        <v>11</v>
      </c>
      <c r="AD17"/>
      <c r="AE17" s="314" t="s">
        <v>1822</v>
      </c>
      <c r="AF17" s="452">
        <v>1</v>
      </c>
      <c r="AG17" s="405">
        <v>43101</v>
      </c>
      <c r="AH17"/>
      <c r="AI17"/>
      <c r="AJ17" s="400">
        <v>43109</v>
      </c>
      <c r="AK17"/>
      <c r="AL17" s="396" t="s">
        <v>910</v>
      </c>
      <c r="AM17"/>
      <c r="AN17"/>
      <c r="AO17" s="456">
        <v>8510.3680000000004</v>
      </c>
      <c r="AP17" s="452">
        <v>556642</v>
      </c>
      <c r="AQ17" s="406">
        <v>43105</v>
      </c>
      <c r="AR17"/>
      <c r="AS17"/>
      <c r="AT17"/>
      <c r="AU17"/>
      <c r="AV17"/>
      <c r="AW17"/>
      <c r="AX17"/>
      <c r="AY17" t="s">
        <v>1717</v>
      </c>
      <c r="AZ17"/>
      <c r="BA17"/>
      <c r="BB17" t="s">
        <v>1727</v>
      </c>
      <c r="BC17" s="456">
        <v>1</v>
      </c>
      <c r="BD17"/>
      <c r="BE17" s="487"/>
      <c r="BF17" s="488"/>
      <c r="BG17" s="395"/>
      <c r="BH17" s="456">
        <v>1</v>
      </c>
      <c r="BI17" s="452"/>
      <c r="BJ17" s="452">
        <v>4</v>
      </c>
      <c r="BK17" s="456" t="s">
        <v>1823</v>
      </c>
      <c r="BL17" s="407" t="s">
        <v>2640</v>
      </c>
      <c r="BM17" s="456">
        <v>1</v>
      </c>
      <c r="BN17" s="407"/>
      <c r="BO17" s="407"/>
      <c r="BP17" s="407"/>
      <c r="BQ17" s="407" t="s">
        <v>1269</v>
      </c>
      <c r="BR17" s="407"/>
      <c r="BS17" s="419"/>
      <c r="BT17" s="445"/>
      <c r="BU17" s="445"/>
      <c r="BV17" s="445"/>
      <c r="BW17" s="445"/>
      <c r="BX17" s="445"/>
      <c r="BY17" s="445"/>
    </row>
    <row r="18" spans="1:77" ht="15">
      <c r="A18" s="432" t="s">
        <v>1269</v>
      </c>
      <c r="B18" t="s">
        <v>85</v>
      </c>
      <c r="C18" s="401" t="s">
        <v>1682</v>
      </c>
      <c r="D18" s="452">
        <v>0</v>
      </c>
      <c r="E18" t="s">
        <v>1749</v>
      </c>
      <c r="F18" s="452">
        <v>3</v>
      </c>
      <c r="G18" t="s">
        <v>1750</v>
      </c>
      <c r="H18" s="456">
        <v>106</v>
      </c>
      <c r="I18" t="s">
        <v>1686</v>
      </c>
      <c r="J18" s="452">
        <v>3.9</v>
      </c>
      <c r="K18" s="452">
        <v>450</v>
      </c>
      <c r="L18" s="452"/>
      <c r="M18" s="452">
        <v>11</v>
      </c>
      <c r="N18" s="452"/>
      <c r="O18" s="452"/>
      <c r="P18" s="452"/>
      <c r="Q18" s="452"/>
      <c r="R18" s="452"/>
      <c r="S18" s="452">
        <v>100</v>
      </c>
      <c r="T18" s="452">
        <v>0</v>
      </c>
      <c r="U18" s="452"/>
      <c r="V18" s="452">
        <v>54</v>
      </c>
      <c r="W18" s="452">
        <v>0</v>
      </c>
      <c r="X18" s="402">
        <v>0.37</v>
      </c>
      <c r="Y18" s="456">
        <v>165</v>
      </c>
      <c r="Z18" s="403">
        <v>48</v>
      </c>
      <c r="AA18" s="404">
        <v>86.62</v>
      </c>
      <c r="AB18" s="404"/>
      <c r="AC18" s="452">
        <v>23</v>
      </c>
      <c r="AD18"/>
      <c r="AE18" s="314" t="s">
        <v>1824</v>
      </c>
      <c r="AF18" s="452">
        <v>1</v>
      </c>
      <c r="AG18" s="405">
        <v>43101</v>
      </c>
      <c r="AH18"/>
      <c r="AI18"/>
      <c r="AJ18" s="400">
        <v>43109</v>
      </c>
      <c r="AK18"/>
      <c r="AL18" s="396" t="s">
        <v>1713</v>
      </c>
      <c r="AM18"/>
      <c r="AN18"/>
      <c r="AO18" s="456">
        <v>14292.3</v>
      </c>
      <c r="AP18" s="452">
        <v>556642</v>
      </c>
      <c r="AQ18" s="406">
        <v>43105</v>
      </c>
      <c r="AR18"/>
      <c r="AS18"/>
      <c r="AT18"/>
      <c r="AU18"/>
      <c r="AV18"/>
      <c r="AW18"/>
      <c r="AX18"/>
      <c r="AY18" t="s">
        <v>1717</v>
      </c>
      <c r="AZ18"/>
      <c r="BA18"/>
      <c r="BB18" t="s">
        <v>1727</v>
      </c>
      <c r="BC18" s="456">
        <v>1</v>
      </c>
      <c r="BD18"/>
      <c r="BE18" s="487"/>
      <c r="BF18" s="488"/>
      <c r="BG18" s="395"/>
      <c r="BH18" s="456">
        <v>1</v>
      </c>
      <c r="BI18" s="452"/>
      <c r="BJ18" s="452">
        <v>7</v>
      </c>
      <c r="BK18" s="456" t="s">
        <v>1825</v>
      </c>
      <c r="BL18" s="407" t="s">
        <v>2641</v>
      </c>
      <c r="BM18" s="456">
        <v>1</v>
      </c>
      <c r="BN18" s="407"/>
      <c r="BO18" s="407"/>
      <c r="BP18" s="407"/>
      <c r="BQ18" s="407" t="s">
        <v>1269</v>
      </c>
      <c r="BR18" s="407"/>
      <c r="BS18" s="419"/>
      <c r="BT18" s="445"/>
      <c r="BU18" s="445"/>
      <c r="BV18" s="445"/>
      <c r="BW18" s="445"/>
      <c r="BX18" s="445"/>
      <c r="BY18" s="445"/>
    </row>
    <row r="19" spans="1:77" ht="15">
      <c r="A19" t="s">
        <v>1269</v>
      </c>
      <c r="B19" t="s">
        <v>85</v>
      </c>
      <c r="C19" s="401" t="s">
        <v>1682</v>
      </c>
      <c r="D19" s="452">
        <v>0</v>
      </c>
      <c r="E19" t="s">
        <v>1749</v>
      </c>
      <c r="F19" s="452">
        <v>3</v>
      </c>
      <c r="G19" t="s">
        <v>1750</v>
      </c>
      <c r="H19" s="456">
        <v>38</v>
      </c>
      <c r="I19" t="s">
        <v>1683</v>
      </c>
      <c r="J19" s="452">
        <v>0.5</v>
      </c>
      <c r="K19" s="452">
        <v>55</v>
      </c>
      <c r="L19" s="452"/>
      <c r="M19" s="452">
        <v>0</v>
      </c>
      <c r="N19" s="452"/>
      <c r="O19" s="452"/>
      <c r="P19" s="452"/>
      <c r="Q19" s="452"/>
      <c r="R19" s="452"/>
      <c r="S19" s="452">
        <v>0</v>
      </c>
      <c r="T19" s="452">
        <v>0</v>
      </c>
      <c r="U19" s="452"/>
      <c r="V19" s="452">
        <v>18</v>
      </c>
      <c r="W19" s="452">
        <v>0</v>
      </c>
      <c r="X19" s="402">
        <v>0.33</v>
      </c>
      <c r="Y19" s="456">
        <v>18</v>
      </c>
      <c r="Z19" s="403">
        <v>40</v>
      </c>
      <c r="AA19" s="404">
        <v>80.546000000000006</v>
      </c>
      <c r="AB19" s="404"/>
      <c r="AC19" s="452">
        <v>2</v>
      </c>
      <c r="AD19"/>
      <c r="AE19" s="314" t="s">
        <v>1826</v>
      </c>
      <c r="AF19" s="452">
        <v>1</v>
      </c>
      <c r="AG19" s="405">
        <v>43101</v>
      </c>
      <c r="AH19"/>
      <c r="AI19"/>
      <c r="AJ19" s="400">
        <v>43109</v>
      </c>
      <c r="AK19"/>
      <c r="AL19" s="396" t="s">
        <v>910</v>
      </c>
      <c r="AM19"/>
      <c r="AN19"/>
      <c r="AO19" s="456">
        <v>1449.828</v>
      </c>
      <c r="AP19" s="452">
        <v>556642</v>
      </c>
      <c r="AQ19" s="406">
        <v>43105</v>
      </c>
      <c r="AR19"/>
      <c r="AS19"/>
      <c r="AT19"/>
      <c r="AU19"/>
      <c r="AV19"/>
      <c r="AW19"/>
      <c r="AX19"/>
      <c r="AY19" t="s">
        <v>1717</v>
      </c>
      <c r="AZ19"/>
      <c r="BA19"/>
      <c r="BB19" t="s">
        <v>1727</v>
      </c>
      <c r="BC19" s="456">
        <v>1</v>
      </c>
      <c r="BD19"/>
      <c r="BE19" s="487"/>
      <c r="BF19" s="488"/>
      <c r="BG19" s="395"/>
      <c r="BH19" s="456">
        <v>1</v>
      </c>
      <c r="BI19" s="452"/>
      <c r="BJ19" s="452">
        <v>3</v>
      </c>
      <c r="BK19" s="456" t="s">
        <v>1827</v>
      </c>
      <c r="BL19" s="407" t="s">
        <v>2642</v>
      </c>
      <c r="BM19" s="456">
        <v>1</v>
      </c>
      <c r="BN19" s="407"/>
      <c r="BO19" s="407"/>
      <c r="BP19" s="407"/>
      <c r="BQ19" s="407" t="s">
        <v>1269</v>
      </c>
      <c r="BR19" s="407"/>
      <c r="BS19" s="419"/>
      <c r="BT19" s="445"/>
      <c r="BU19" s="445"/>
      <c r="BV19" s="445"/>
      <c r="BW19" s="445"/>
      <c r="BX19" s="445"/>
      <c r="BY19" s="445"/>
    </row>
    <row r="20" spans="1:77" ht="15">
      <c r="A20" t="s">
        <v>1269</v>
      </c>
      <c r="B20" t="s">
        <v>85</v>
      </c>
      <c r="C20" s="401" t="s">
        <v>1682</v>
      </c>
      <c r="D20" s="452">
        <v>0</v>
      </c>
      <c r="E20" t="s">
        <v>1749</v>
      </c>
      <c r="F20" s="452">
        <v>3</v>
      </c>
      <c r="G20" t="s">
        <v>1750</v>
      </c>
      <c r="H20" s="456">
        <v>38</v>
      </c>
      <c r="I20" t="s">
        <v>1660</v>
      </c>
      <c r="J20" s="452">
        <v>0.4</v>
      </c>
      <c r="K20" s="452">
        <v>19</v>
      </c>
      <c r="L20" s="452"/>
      <c r="M20" s="452">
        <v>0</v>
      </c>
      <c r="N20" s="452"/>
      <c r="O20" s="452"/>
      <c r="P20" s="452"/>
      <c r="Q20" s="452"/>
      <c r="R20" s="452"/>
      <c r="S20" s="452">
        <v>0</v>
      </c>
      <c r="T20" s="452">
        <v>0</v>
      </c>
      <c r="U20" s="452"/>
      <c r="V20" s="452">
        <v>11</v>
      </c>
      <c r="W20" s="452">
        <v>0</v>
      </c>
      <c r="X20" s="402">
        <v>0.57999999999999996</v>
      </c>
      <c r="Y20" s="456">
        <v>11</v>
      </c>
      <c r="Z20" s="403">
        <v>33</v>
      </c>
      <c r="AA20" s="404">
        <v>71.786000000000001</v>
      </c>
      <c r="AB20" s="404"/>
      <c r="AC20" s="452">
        <v>2</v>
      </c>
      <c r="AD20"/>
      <c r="AE20" s="314" t="s">
        <v>1828</v>
      </c>
      <c r="AF20" s="452">
        <v>1</v>
      </c>
      <c r="AG20" s="405">
        <v>43101</v>
      </c>
      <c r="AH20"/>
      <c r="AI20"/>
      <c r="AJ20" s="400">
        <v>43109</v>
      </c>
      <c r="AK20"/>
      <c r="AL20" s="396" t="s">
        <v>910</v>
      </c>
      <c r="AM20"/>
      <c r="AN20"/>
      <c r="AO20" s="456">
        <v>789.64599999999996</v>
      </c>
      <c r="AP20" s="452">
        <v>556642</v>
      </c>
      <c r="AQ20" s="406">
        <v>43105</v>
      </c>
      <c r="AR20"/>
      <c r="AS20"/>
      <c r="AT20"/>
      <c r="AU20"/>
      <c r="AV20"/>
      <c r="AW20"/>
      <c r="AX20"/>
      <c r="AY20" t="s">
        <v>1717</v>
      </c>
      <c r="AZ20"/>
      <c r="BA20"/>
      <c r="BB20" t="s">
        <v>1727</v>
      </c>
      <c r="BC20" s="456">
        <v>1</v>
      </c>
      <c r="BD20"/>
      <c r="BE20" s="487"/>
      <c r="BF20" s="488"/>
      <c r="BG20" s="395"/>
      <c r="BH20" s="456">
        <v>1</v>
      </c>
      <c r="BI20" s="452"/>
      <c r="BJ20" s="452">
        <v>6</v>
      </c>
      <c r="BK20" s="456" t="s">
        <v>1829</v>
      </c>
      <c r="BL20" s="407" t="s">
        <v>2643</v>
      </c>
      <c r="BM20" s="456">
        <v>1</v>
      </c>
      <c r="BN20" s="407"/>
      <c r="BO20" s="407"/>
      <c r="BP20" s="407"/>
      <c r="BQ20" s="407" t="s">
        <v>1269</v>
      </c>
      <c r="BR20" s="407"/>
      <c r="BS20" s="419"/>
      <c r="BT20" s="445"/>
      <c r="BU20" s="445"/>
      <c r="BV20" s="445"/>
      <c r="BW20" s="445"/>
      <c r="BX20" s="445"/>
      <c r="BY20" s="445"/>
    </row>
    <row r="21" spans="1:77" ht="15">
      <c r="A21" t="s">
        <v>1269</v>
      </c>
      <c r="B21" s="281" t="s">
        <v>177</v>
      </c>
      <c r="C21" s="401" t="s">
        <v>1619</v>
      </c>
      <c r="D21" s="452">
        <v>0</v>
      </c>
      <c r="E21" t="s">
        <v>1749</v>
      </c>
      <c r="F21" s="452">
        <v>3</v>
      </c>
      <c r="G21" t="s">
        <v>1750</v>
      </c>
      <c r="H21" s="456">
        <v>49</v>
      </c>
      <c r="I21" t="s">
        <v>1683</v>
      </c>
      <c r="J21" s="452">
        <v>9</v>
      </c>
      <c r="K21" s="452">
        <v>902</v>
      </c>
      <c r="L21" s="452"/>
      <c r="M21" s="452">
        <v>0</v>
      </c>
      <c r="N21" s="452">
        <v>9</v>
      </c>
      <c r="O21" s="452"/>
      <c r="P21" s="452"/>
      <c r="Q21" s="452"/>
      <c r="R21" s="452"/>
      <c r="S21" s="452">
        <v>14</v>
      </c>
      <c r="T21" s="452">
        <v>105</v>
      </c>
      <c r="U21" s="452"/>
      <c r="V21" s="452">
        <v>0</v>
      </c>
      <c r="W21" s="452">
        <v>0</v>
      </c>
      <c r="X21" s="402">
        <v>0.14000000000000001</v>
      </c>
      <c r="Y21" s="456">
        <v>128</v>
      </c>
      <c r="Z21" s="403">
        <v>16</v>
      </c>
      <c r="AA21" s="404">
        <v>130.18600000000001</v>
      </c>
      <c r="AB21" s="404"/>
      <c r="AC21" s="452">
        <v>15</v>
      </c>
      <c r="AD21"/>
      <c r="AE21" s="314" t="s">
        <v>1830</v>
      </c>
      <c r="AF21" s="452">
        <v>1</v>
      </c>
      <c r="AG21" s="405">
        <v>43101</v>
      </c>
      <c r="AH21"/>
      <c r="AI21"/>
      <c r="AJ21" s="400">
        <v>43109</v>
      </c>
      <c r="AK21"/>
      <c r="AL21" s="396" t="s">
        <v>1015</v>
      </c>
      <c r="AM21"/>
      <c r="AN21"/>
      <c r="AO21" s="456">
        <v>16663.808000000001</v>
      </c>
      <c r="AP21" s="452">
        <v>556638</v>
      </c>
      <c r="AQ21" s="406">
        <v>43102</v>
      </c>
      <c r="AR21"/>
      <c r="AS21"/>
      <c r="AT21"/>
      <c r="AU21"/>
      <c r="AV21"/>
      <c r="AW21"/>
      <c r="AX21"/>
      <c r="AY21" t="s">
        <v>1717</v>
      </c>
      <c r="AZ21"/>
      <c r="BA21"/>
      <c r="BB21" t="s">
        <v>1727</v>
      </c>
      <c r="BC21" s="456">
        <v>1</v>
      </c>
      <c r="BD21"/>
      <c r="BE21" s="487"/>
      <c r="BF21" s="488"/>
      <c r="BG21" s="395"/>
      <c r="BH21" s="456">
        <v>1</v>
      </c>
      <c r="BI21" s="452"/>
      <c r="BJ21" s="452">
        <v>2</v>
      </c>
      <c r="BK21" s="456" t="s">
        <v>1831</v>
      </c>
      <c r="BL21" s="407" t="s">
        <v>2644</v>
      </c>
      <c r="BM21" s="456">
        <v>1</v>
      </c>
      <c r="BN21" s="407"/>
      <c r="BO21" s="407"/>
      <c r="BP21" s="407"/>
      <c r="BQ21" s="407" t="s">
        <v>1269</v>
      </c>
      <c r="BR21" s="407"/>
      <c r="BS21" s="419"/>
      <c r="BT21" s="445"/>
      <c r="BU21" s="445"/>
      <c r="BV21" s="445"/>
      <c r="BW21" s="445"/>
      <c r="BX21" s="445"/>
      <c r="BY21" s="445"/>
    </row>
    <row r="22" spans="1:77" ht="15">
      <c r="A22" t="s">
        <v>1269</v>
      </c>
      <c r="B22" s="281" t="s">
        <v>177</v>
      </c>
      <c r="C22" s="401" t="s">
        <v>1619</v>
      </c>
      <c r="D22" s="452">
        <v>0</v>
      </c>
      <c r="E22" t="s">
        <v>1716</v>
      </c>
      <c r="F22" s="452">
        <v>3</v>
      </c>
      <c r="G22" t="s">
        <v>1750</v>
      </c>
      <c r="H22" s="456">
        <v>56</v>
      </c>
      <c r="I22" t="s">
        <v>1687</v>
      </c>
      <c r="J22" s="452">
        <v>6</v>
      </c>
      <c r="K22" s="452">
        <v>574</v>
      </c>
      <c r="L22" s="452"/>
      <c r="M22" s="452">
        <v>0</v>
      </c>
      <c r="N22" s="452">
        <v>4</v>
      </c>
      <c r="O22" s="452"/>
      <c r="P22" s="452"/>
      <c r="Q22" s="452"/>
      <c r="R22" s="452"/>
      <c r="S22" s="452">
        <v>13</v>
      </c>
      <c r="T22" s="452">
        <v>62</v>
      </c>
      <c r="U22" s="452"/>
      <c r="V22" s="452">
        <v>0</v>
      </c>
      <c r="W22" s="452">
        <v>0</v>
      </c>
      <c r="X22" s="402">
        <v>0.14000000000000001</v>
      </c>
      <c r="Y22" s="456">
        <v>79</v>
      </c>
      <c r="Z22" s="403">
        <v>15</v>
      </c>
      <c r="AA22" s="404">
        <v>129.797</v>
      </c>
      <c r="AB22" s="404"/>
      <c r="AC22" s="452">
        <v>9</v>
      </c>
      <c r="AD22"/>
      <c r="AE22" s="314" t="s">
        <v>1832</v>
      </c>
      <c r="AF22" s="452">
        <v>1</v>
      </c>
      <c r="AG22" s="405">
        <v>43101</v>
      </c>
      <c r="AH22"/>
      <c r="AI22"/>
      <c r="AJ22" s="400">
        <v>43109</v>
      </c>
      <c r="AK22"/>
      <c r="AL22" s="396" t="s">
        <v>1681</v>
      </c>
      <c r="AM22"/>
      <c r="AN22"/>
      <c r="AO22" s="456">
        <v>10253.963</v>
      </c>
      <c r="AP22" s="452">
        <v>556638</v>
      </c>
      <c r="AQ22" s="406">
        <v>43102</v>
      </c>
      <c r="AR22"/>
      <c r="AS22"/>
      <c r="AT22"/>
      <c r="AU22"/>
      <c r="AV22"/>
      <c r="AW22"/>
      <c r="AX22"/>
      <c r="AY22" t="s">
        <v>1717</v>
      </c>
      <c r="AZ22"/>
      <c r="BA22"/>
      <c r="BB22" t="s">
        <v>1727</v>
      </c>
      <c r="BC22" s="456">
        <v>1</v>
      </c>
      <c r="BD22"/>
      <c r="BE22" s="487"/>
      <c r="BF22" s="488"/>
      <c r="BG22" s="395"/>
      <c r="BH22" s="456">
        <v>1</v>
      </c>
      <c r="BI22" s="452"/>
      <c r="BJ22" s="452">
        <v>3</v>
      </c>
      <c r="BK22" s="456" t="s">
        <v>1833</v>
      </c>
      <c r="BL22" s="407" t="s">
        <v>2645</v>
      </c>
      <c r="BM22" s="456">
        <v>1</v>
      </c>
      <c r="BN22" s="407"/>
      <c r="BO22" s="407"/>
      <c r="BP22" s="407"/>
      <c r="BQ22" s="407" t="s">
        <v>1269</v>
      </c>
      <c r="BR22" s="407"/>
      <c r="BS22" s="419"/>
      <c r="BT22" s="445"/>
      <c r="BU22" s="445"/>
      <c r="BV22" s="445"/>
      <c r="BW22" s="445"/>
      <c r="BX22" s="445"/>
      <c r="BY22" s="445"/>
    </row>
    <row r="23" spans="1:77" ht="15">
      <c r="A23" t="s">
        <v>1269</v>
      </c>
      <c r="B23" s="281" t="s">
        <v>177</v>
      </c>
      <c r="C23" s="401" t="s">
        <v>1693</v>
      </c>
      <c r="D23" s="452">
        <v>0</v>
      </c>
      <c r="E23" t="s">
        <v>1716</v>
      </c>
      <c r="F23" s="452">
        <v>3</v>
      </c>
      <c r="G23" t="s">
        <v>1750</v>
      </c>
      <c r="H23" s="456">
        <v>54</v>
      </c>
      <c r="I23" t="s">
        <v>1660</v>
      </c>
      <c r="J23" s="452">
        <v>6.1</v>
      </c>
      <c r="K23" s="452">
        <v>455</v>
      </c>
      <c r="L23" s="452"/>
      <c r="M23" s="452">
        <v>0</v>
      </c>
      <c r="N23" s="452">
        <v>0</v>
      </c>
      <c r="O23" s="452"/>
      <c r="P23" s="452"/>
      <c r="Q23" s="452"/>
      <c r="R23" s="452"/>
      <c r="S23" s="452">
        <v>0</v>
      </c>
      <c r="T23" s="452">
        <v>43</v>
      </c>
      <c r="U23" s="452"/>
      <c r="V23" s="452">
        <v>0</v>
      </c>
      <c r="W23" s="452">
        <v>0</v>
      </c>
      <c r="X23" s="402">
        <v>0.09</v>
      </c>
      <c r="Y23" s="456">
        <v>43</v>
      </c>
      <c r="Z23" s="403">
        <v>7</v>
      </c>
      <c r="AA23" s="404">
        <v>201.08099999999999</v>
      </c>
      <c r="AB23" s="404"/>
      <c r="AC23" s="452">
        <v>1</v>
      </c>
      <c r="AD23"/>
      <c r="AE23" s="314" t="s">
        <v>1834</v>
      </c>
      <c r="AF23" s="452">
        <v>1</v>
      </c>
      <c r="AG23" s="405">
        <v>43101</v>
      </c>
      <c r="AH23"/>
      <c r="AI23"/>
      <c r="AJ23" s="400">
        <v>43109</v>
      </c>
      <c r="AK23"/>
      <c r="AL23" s="396" t="s">
        <v>1681</v>
      </c>
      <c r="AM23"/>
      <c r="AN23"/>
      <c r="AO23" s="456">
        <v>8646.4830000000002</v>
      </c>
      <c r="AP23" s="452">
        <v>556637</v>
      </c>
      <c r="AQ23" s="406">
        <v>43102</v>
      </c>
      <c r="AR23"/>
      <c r="AS23"/>
      <c r="AT23"/>
      <c r="AU23"/>
      <c r="AV23"/>
      <c r="AW23"/>
      <c r="AX23"/>
      <c r="AY23" t="s">
        <v>1717</v>
      </c>
      <c r="AZ23"/>
      <c r="BA23"/>
      <c r="BB23" t="s">
        <v>1727</v>
      </c>
      <c r="BC23" s="456">
        <v>1</v>
      </c>
      <c r="BD23"/>
      <c r="BE23" s="487"/>
      <c r="BF23" s="488"/>
      <c r="BG23" s="395"/>
      <c r="BH23" s="456">
        <v>1</v>
      </c>
      <c r="BI23" s="452"/>
      <c r="BJ23" s="452">
        <v>5</v>
      </c>
      <c r="BK23" s="456" t="s">
        <v>1835</v>
      </c>
      <c r="BL23" s="407" t="s">
        <v>2646</v>
      </c>
      <c r="BM23" s="456">
        <v>1</v>
      </c>
      <c r="BN23" s="407"/>
      <c r="BO23" s="407"/>
      <c r="BP23" s="407"/>
      <c r="BQ23" s="407" t="s">
        <v>1269</v>
      </c>
      <c r="BR23" s="407"/>
      <c r="BS23" s="419"/>
      <c r="BT23" s="445"/>
      <c r="BU23" s="445"/>
      <c r="BV23" s="445"/>
      <c r="BW23" s="445"/>
      <c r="BX23" s="445"/>
      <c r="BY23" s="445"/>
    </row>
    <row r="24" spans="1:77" ht="15">
      <c r="A24" t="s">
        <v>1269</v>
      </c>
      <c r="B24" s="281" t="s">
        <v>177</v>
      </c>
      <c r="C24" s="401" t="s">
        <v>1693</v>
      </c>
      <c r="D24" s="452">
        <v>0</v>
      </c>
      <c r="E24" t="s">
        <v>1716</v>
      </c>
      <c r="F24" s="452">
        <v>3</v>
      </c>
      <c r="G24" t="s">
        <v>1750</v>
      </c>
      <c r="H24" s="456">
        <v>64</v>
      </c>
      <c r="I24" t="s">
        <v>1632</v>
      </c>
      <c r="J24" s="452">
        <v>5.2</v>
      </c>
      <c r="K24" s="452">
        <v>428</v>
      </c>
      <c r="L24" s="452"/>
      <c r="M24" s="452">
        <v>0</v>
      </c>
      <c r="N24" s="452">
        <v>0</v>
      </c>
      <c r="O24" s="452"/>
      <c r="P24" s="452"/>
      <c r="Q24" s="452"/>
      <c r="R24" s="452"/>
      <c r="S24" s="452">
        <v>0</v>
      </c>
      <c r="T24" s="452">
        <v>46</v>
      </c>
      <c r="U24" s="452"/>
      <c r="V24" s="452">
        <v>0</v>
      </c>
      <c r="W24" s="452">
        <v>0</v>
      </c>
      <c r="X24" s="402">
        <v>0.11</v>
      </c>
      <c r="Y24" s="456">
        <v>46</v>
      </c>
      <c r="Z24" s="403">
        <v>9</v>
      </c>
      <c r="AA24" s="404">
        <v>169.15199999999999</v>
      </c>
      <c r="AB24" s="404"/>
      <c r="AC24" s="452">
        <v>1</v>
      </c>
      <c r="AD24"/>
      <c r="AE24" s="314" t="s">
        <v>1836</v>
      </c>
      <c r="AF24" s="452">
        <v>1</v>
      </c>
      <c r="AG24" s="405">
        <v>43101</v>
      </c>
      <c r="AH24"/>
      <c r="AI24"/>
      <c r="AJ24" s="400">
        <v>43109</v>
      </c>
      <c r="AK24"/>
      <c r="AL24" s="396" t="s">
        <v>1681</v>
      </c>
      <c r="AM24"/>
      <c r="AN24"/>
      <c r="AO24" s="456">
        <v>7780.9920000000002</v>
      </c>
      <c r="AP24" s="452">
        <v>556637</v>
      </c>
      <c r="AQ24" s="406">
        <v>43102</v>
      </c>
      <c r="AR24"/>
      <c r="AS24"/>
      <c r="AT24"/>
      <c r="AU24"/>
      <c r="AV24"/>
      <c r="AW24"/>
      <c r="AX24"/>
      <c r="AY24" t="s">
        <v>1717</v>
      </c>
      <c r="AZ24"/>
      <c r="BA24"/>
      <c r="BB24" t="s">
        <v>1727</v>
      </c>
      <c r="BC24" s="456">
        <v>1</v>
      </c>
      <c r="BD24"/>
      <c r="BE24" s="487"/>
      <c r="BF24" s="488"/>
      <c r="BG24" s="395"/>
      <c r="BH24" s="456">
        <v>1</v>
      </c>
      <c r="BI24" s="452"/>
      <c r="BJ24" s="452">
        <v>6</v>
      </c>
      <c r="BK24" s="456" t="s">
        <v>1837</v>
      </c>
      <c r="BL24" s="407" t="s">
        <v>2647</v>
      </c>
      <c r="BM24" s="456">
        <v>1</v>
      </c>
      <c r="BN24" s="407"/>
      <c r="BO24" s="407"/>
      <c r="BP24" s="407"/>
      <c r="BQ24" s="407" t="s">
        <v>1269</v>
      </c>
      <c r="BR24" s="407"/>
      <c r="BS24" s="419"/>
      <c r="BT24" s="445"/>
      <c r="BU24" s="445"/>
      <c r="BV24" s="445"/>
      <c r="BW24" s="445"/>
      <c r="BX24" s="445"/>
      <c r="BY24" s="445"/>
    </row>
    <row r="25" spans="1:77" ht="15">
      <c r="A25" t="s">
        <v>1269</v>
      </c>
      <c r="B25" t="s">
        <v>177</v>
      </c>
      <c r="C25" s="401" t="s">
        <v>1693</v>
      </c>
      <c r="D25" s="452">
        <v>0</v>
      </c>
      <c r="E25" t="s">
        <v>1716</v>
      </c>
      <c r="F25" s="452">
        <v>3</v>
      </c>
      <c r="G25" t="s">
        <v>1750</v>
      </c>
      <c r="H25" s="457">
        <v>70</v>
      </c>
      <c r="I25" t="s">
        <v>1632</v>
      </c>
      <c r="J25" s="452">
        <v>9.4</v>
      </c>
      <c r="K25" s="452">
        <v>910</v>
      </c>
      <c r="L25" s="452"/>
      <c r="M25" s="452">
        <v>0</v>
      </c>
      <c r="N25" s="452">
        <v>0</v>
      </c>
      <c r="O25" s="452"/>
      <c r="P25" s="452"/>
      <c r="Q25" s="452"/>
      <c r="R25" s="452"/>
      <c r="S25" s="452">
        <v>0</v>
      </c>
      <c r="T25" s="452">
        <v>77</v>
      </c>
      <c r="U25" s="452"/>
      <c r="V25" s="452">
        <v>0</v>
      </c>
      <c r="W25" s="452">
        <v>0</v>
      </c>
      <c r="X25" s="402">
        <v>0.08</v>
      </c>
      <c r="Y25" s="456">
        <v>77</v>
      </c>
      <c r="Z25" s="403">
        <v>8</v>
      </c>
      <c r="AA25" s="404">
        <v>222.70699999999999</v>
      </c>
      <c r="AB25" s="404"/>
      <c r="AC25" s="452">
        <v>1</v>
      </c>
      <c r="AD25"/>
      <c r="AE25" s="314" t="s">
        <v>2020</v>
      </c>
      <c r="AF25" s="452">
        <v>1</v>
      </c>
      <c r="AG25" s="405">
        <v>43101</v>
      </c>
      <c r="AH25"/>
      <c r="AI25"/>
      <c r="AJ25" s="400">
        <v>43109</v>
      </c>
      <c r="AK25"/>
      <c r="AL25" s="396" t="s">
        <v>1015</v>
      </c>
      <c r="AM25"/>
      <c r="AN25"/>
      <c r="AO25" s="456">
        <v>17148.438999999998</v>
      </c>
      <c r="AP25" s="452">
        <v>556637</v>
      </c>
      <c r="AQ25" s="406">
        <v>43102</v>
      </c>
      <c r="AR25"/>
      <c r="AS25"/>
      <c r="AT25"/>
      <c r="AU25"/>
      <c r="AV25"/>
      <c r="AW25"/>
      <c r="AX25"/>
      <c r="AY25" t="s">
        <v>1717</v>
      </c>
      <c r="AZ25"/>
      <c r="BA25"/>
      <c r="BB25" t="s">
        <v>1727</v>
      </c>
      <c r="BC25" s="456">
        <v>1</v>
      </c>
      <c r="BD25"/>
      <c r="BE25" s="487"/>
      <c r="BF25" s="488"/>
      <c r="BG25" s="395"/>
      <c r="BH25" s="456">
        <v>1</v>
      </c>
      <c r="BI25" s="452"/>
      <c r="BJ25" s="452">
        <v>6</v>
      </c>
      <c r="BK25" s="456" t="s">
        <v>1838</v>
      </c>
      <c r="BL25" s="407" t="s">
        <v>2648</v>
      </c>
      <c r="BM25" s="456">
        <v>1</v>
      </c>
      <c r="BN25" s="407"/>
      <c r="BO25" s="407"/>
      <c r="BP25" s="407"/>
      <c r="BQ25" s="407" t="s">
        <v>1269</v>
      </c>
      <c r="BR25" s="407"/>
      <c r="BS25" s="419"/>
      <c r="BT25" s="445"/>
      <c r="BU25" s="445"/>
      <c r="BV25" s="445"/>
      <c r="BW25" s="445"/>
      <c r="BX25" s="445"/>
      <c r="BY25" s="445"/>
    </row>
    <row r="26" spans="1:77" ht="15">
      <c r="A26" t="s">
        <v>1269</v>
      </c>
      <c r="B26" t="s">
        <v>296</v>
      </c>
      <c r="C26" s="401" t="s">
        <v>1619</v>
      </c>
      <c r="D26" s="452">
        <v>0</v>
      </c>
      <c r="E26" t="s">
        <v>1716</v>
      </c>
      <c r="F26" s="452">
        <v>3</v>
      </c>
      <c r="G26" t="s">
        <v>1750</v>
      </c>
      <c r="H26" s="457">
        <v>81</v>
      </c>
      <c r="I26" t="s">
        <v>1632</v>
      </c>
      <c r="J26" s="452">
        <v>3.1</v>
      </c>
      <c r="K26" s="452">
        <v>132</v>
      </c>
      <c r="L26" s="452"/>
      <c r="M26" s="452">
        <v>0</v>
      </c>
      <c r="N26" s="452">
        <v>35</v>
      </c>
      <c r="O26" s="452"/>
      <c r="P26" s="452"/>
      <c r="Q26" s="452"/>
      <c r="R26" s="452"/>
      <c r="S26" s="452">
        <v>2</v>
      </c>
      <c r="T26" s="452">
        <v>70</v>
      </c>
      <c r="U26" s="452"/>
      <c r="V26" s="452">
        <v>0</v>
      </c>
      <c r="W26" s="452">
        <v>0</v>
      </c>
      <c r="X26" s="402">
        <v>0.81</v>
      </c>
      <c r="Y26" s="456">
        <v>107</v>
      </c>
      <c r="Z26" s="403">
        <v>37</v>
      </c>
      <c r="AA26" s="404">
        <v>59.331000000000003</v>
      </c>
      <c r="AB26" s="404"/>
      <c r="AC26" s="452">
        <v>8</v>
      </c>
      <c r="AD26"/>
      <c r="AE26" s="314" t="s">
        <v>1839</v>
      </c>
      <c r="AF26" s="452">
        <v>1</v>
      </c>
      <c r="AG26" s="405">
        <v>43101</v>
      </c>
      <c r="AH26"/>
      <c r="AI26"/>
      <c r="AJ26" s="400">
        <v>43109</v>
      </c>
      <c r="AK26"/>
      <c r="AL26" s="396" t="s">
        <v>918</v>
      </c>
      <c r="AM26"/>
      <c r="AN26"/>
      <c r="AO26" s="456">
        <v>6348.4170000000004</v>
      </c>
      <c r="AP26" s="452">
        <v>556629</v>
      </c>
      <c r="AQ26" s="406">
        <v>43102</v>
      </c>
      <c r="AR26"/>
      <c r="AS26"/>
      <c r="AT26"/>
      <c r="AU26"/>
      <c r="AV26"/>
      <c r="AW26"/>
      <c r="AX26"/>
      <c r="AY26" t="s">
        <v>1722</v>
      </c>
      <c r="AZ26"/>
      <c r="BA26"/>
      <c r="BB26" t="s">
        <v>1728</v>
      </c>
      <c r="BC26" s="456">
        <v>1</v>
      </c>
      <c r="BD26"/>
      <c r="BE26" s="487"/>
      <c r="BF26" s="488"/>
      <c r="BG26" s="395"/>
      <c r="BH26" s="456">
        <v>1</v>
      </c>
      <c r="BI26" s="452"/>
      <c r="BJ26" s="452">
        <v>3</v>
      </c>
      <c r="BK26" s="456" t="s">
        <v>1840</v>
      </c>
      <c r="BL26" s="407" t="s">
        <v>2649</v>
      </c>
      <c r="BM26" s="456">
        <v>1</v>
      </c>
      <c r="BN26" s="407"/>
      <c r="BO26" s="407"/>
      <c r="BP26" s="407"/>
      <c r="BQ26" s="407" t="s">
        <v>1269</v>
      </c>
      <c r="BR26" s="407"/>
      <c r="BS26" s="419"/>
      <c r="BT26" s="445"/>
      <c r="BU26" s="445"/>
      <c r="BV26" s="445"/>
      <c r="BW26" s="445"/>
      <c r="BX26" s="445"/>
      <c r="BY26" s="445"/>
    </row>
    <row r="27" spans="1:77" ht="15">
      <c r="A27" t="s">
        <v>1269</v>
      </c>
      <c r="B27" t="s">
        <v>296</v>
      </c>
      <c r="C27" s="401" t="s">
        <v>1619</v>
      </c>
      <c r="D27" s="452">
        <v>0</v>
      </c>
      <c r="E27" t="s">
        <v>1716</v>
      </c>
      <c r="F27" s="452">
        <v>3</v>
      </c>
      <c r="G27" t="s">
        <v>1750</v>
      </c>
      <c r="H27" s="457">
        <v>93</v>
      </c>
      <c r="I27" t="s">
        <v>1632</v>
      </c>
      <c r="J27" s="452">
        <v>2.2999999999999998</v>
      </c>
      <c r="K27" s="452">
        <v>240</v>
      </c>
      <c r="L27" s="452"/>
      <c r="M27" s="452">
        <v>5</v>
      </c>
      <c r="N27" s="452">
        <v>3</v>
      </c>
      <c r="O27" s="452"/>
      <c r="P27" s="452"/>
      <c r="Q27" s="452"/>
      <c r="R27" s="452">
        <v>5</v>
      </c>
      <c r="S27" s="452">
        <v>21</v>
      </c>
      <c r="T27" s="452">
        <v>34</v>
      </c>
      <c r="U27" s="452"/>
      <c r="V27" s="452">
        <v>0</v>
      </c>
      <c r="W27" s="452">
        <v>0</v>
      </c>
      <c r="X27" s="402">
        <v>0.28000000000000003</v>
      </c>
      <c r="Y27" s="456">
        <v>68</v>
      </c>
      <c r="Z27" s="403">
        <v>33</v>
      </c>
      <c r="AA27" s="404">
        <v>86.472999999999999</v>
      </c>
      <c r="AB27" s="404"/>
      <c r="AC27" s="452">
        <v>7</v>
      </c>
      <c r="AD27"/>
      <c r="AE27" s="314" t="s">
        <v>1841</v>
      </c>
      <c r="AF27" s="452">
        <v>1</v>
      </c>
      <c r="AG27" s="405">
        <v>43101</v>
      </c>
      <c r="AH27"/>
      <c r="AI27"/>
      <c r="AJ27" s="400">
        <v>43109</v>
      </c>
      <c r="AK27"/>
      <c r="AL27" s="396" t="s">
        <v>1027</v>
      </c>
      <c r="AM27"/>
      <c r="AN27"/>
      <c r="AO27" s="456">
        <v>5880.1639999999998</v>
      </c>
      <c r="AP27" s="452">
        <v>556629</v>
      </c>
      <c r="AQ27" s="406">
        <v>43102</v>
      </c>
      <c r="AR27"/>
      <c r="AS27"/>
      <c r="AT27"/>
      <c r="AU27"/>
      <c r="AV27"/>
      <c r="AW27"/>
      <c r="AX27"/>
      <c r="AY27" t="s">
        <v>1722</v>
      </c>
      <c r="AZ27"/>
      <c r="BA27"/>
      <c r="BB27" t="s">
        <v>1728</v>
      </c>
      <c r="BC27" s="456">
        <v>1</v>
      </c>
      <c r="BD27"/>
      <c r="BE27" s="487"/>
      <c r="BF27" s="488"/>
      <c r="BG27" s="395"/>
      <c r="BH27" s="456">
        <v>1</v>
      </c>
      <c r="BI27" s="452"/>
      <c r="BJ27" s="452">
        <v>4</v>
      </c>
      <c r="BK27" s="456" t="s">
        <v>153</v>
      </c>
      <c r="BL27" s="407" t="s">
        <v>2650</v>
      </c>
      <c r="BM27" s="456">
        <v>1</v>
      </c>
      <c r="BN27" s="407"/>
      <c r="BO27" s="407"/>
      <c r="BP27" s="407"/>
      <c r="BQ27" s="407" t="s">
        <v>1269</v>
      </c>
      <c r="BR27" s="407"/>
      <c r="BS27" s="419"/>
      <c r="BT27" s="445"/>
      <c r="BU27" s="445"/>
      <c r="BV27" s="445"/>
      <c r="BW27" s="445"/>
      <c r="BX27" s="445"/>
      <c r="BY27" s="445"/>
    </row>
    <row r="28" spans="1:77" ht="15">
      <c r="A28" t="s">
        <v>1269</v>
      </c>
      <c r="B28" t="s">
        <v>296</v>
      </c>
      <c r="C28" s="401" t="s">
        <v>1619</v>
      </c>
      <c r="D28" s="452">
        <v>0</v>
      </c>
      <c r="E28" t="s">
        <v>1716</v>
      </c>
      <c r="F28" s="452">
        <v>3</v>
      </c>
      <c r="G28" t="s">
        <v>1750</v>
      </c>
      <c r="H28" s="457">
        <v>113</v>
      </c>
      <c r="I28" t="s">
        <v>1685</v>
      </c>
      <c r="J28" s="452">
        <v>8.8000000000000007</v>
      </c>
      <c r="K28" s="452">
        <v>1475</v>
      </c>
      <c r="L28" s="452"/>
      <c r="M28" s="452">
        <v>0</v>
      </c>
      <c r="N28" s="452">
        <v>113</v>
      </c>
      <c r="O28" s="452"/>
      <c r="P28" s="452"/>
      <c r="Q28" s="452"/>
      <c r="R28" s="452">
        <v>40</v>
      </c>
      <c r="S28" s="452">
        <v>6</v>
      </c>
      <c r="T28" s="452">
        <v>562</v>
      </c>
      <c r="U28" s="452"/>
      <c r="V28" s="452">
        <v>0</v>
      </c>
      <c r="W28" s="452">
        <v>0</v>
      </c>
      <c r="X28" s="402">
        <v>0.49</v>
      </c>
      <c r="Y28" s="456">
        <v>721</v>
      </c>
      <c r="Z28" s="403">
        <v>88</v>
      </c>
      <c r="AA28" s="404">
        <v>113.429</v>
      </c>
      <c r="AB28" s="404"/>
      <c r="AC28" s="452">
        <v>51</v>
      </c>
      <c r="AD28"/>
      <c r="AE28" s="314" t="s">
        <v>1842</v>
      </c>
      <c r="AF28" s="452">
        <v>1</v>
      </c>
      <c r="AG28" s="405">
        <v>43101</v>
      </c>
      <c r="AH28"/>
      <c r="AI28"/>
      <c r="AJ28" s="400">
        <v>43109</v>
      </c>
      <c r="AK28"/>
      <c r="AL28" s="396" t="s">
        <v>1689</v>
      </c>
      <c r="AM28"/>
      <c r="AN28"/>
      <c r="AO28" s="456">
        <v>81782.308999999994</v>
      </c>
      <c r="AP28" s="452">
        <v>556629</v>
      </c>
      <c r="AQ28" s="406">
        <v>43102</v>
      </c>
      <c r="AR28"/>
      <c r="AS28"/>
      <c r="AT28"/>
      <c r="AU28"/>
      <c r="AV28"/>
      <c r="AW28"/>
      <c r="AX28"/>
      <c r="AY28" t="s">
        <v>1722</v>
      </c>
      <c r="AZ28"/>
      <c r="BA28"/>
      <c r="BB28" t="s">
        <v>1728</v>
      </c>
      <c r="BC28" s="456">
        <v>1</v>
      </c>
      <c r="BD28"/>
      <c r="BE28" s="487"/>
      <c r="BF28" s="488"/>
      <c r="BG28" s="395"/>
      <c r="BH28" s="456">
        <v>1</v>
      </c>
      <c r="BI28" s="452"/>
      <c r="BJ28" s="452">
        <v>6</v>
      </c>
      <c r="BK28" s="456" t="s">
        <v>1843</v>
      </c>
      <c r="BL28" s="407" t="s">
        <v>2651</v>
      </c>
      <c r="BM28" s="456">
        <v>1</v>
      </c>
      <c r="BN28" s="407"/>
      <c r="BO28" s="407"/>
      <c r="BP28" s="407"/>
      <c r="BQ28" s="407" t="s">
        <v>1269</v>
      </c>
      <c r="BR28" s="407"/>
      <c r="BS28" s="419"/>
      <c r="BT28" s="445"/>
      <c r="BU28" s="445"/>
      <c r="BV28" s="445"/>
      <c r="BW28" s="445"/>
      <c r="BX28" s="445"/>
      <c r="BY28" s="445"/>
    </row>
    <row r="29" spans="1:77" ht="15">
      <c r="A29" t="s">
        <v>1269</v>
      </c>
      <c r="B29" t="s">
        <v>132</v>
      </c>
      <c r="C29" s="401" t="s">
        <v>1693</v>
      </c>
      <c r="D29" s="452">
        <v>0</v>
      </c>
      <c r="E29" t="s">
        <v>1718</v>
      </c>
      <c r="F29" s="452">
        <v>3</v>
      </c>
      <c r="G29" t="s">
        <v>1750</v>
      </c>
      <c r="H29" s="457">
        <v>79</v>
      </c>
      <c r="I29" t="s">
        <v>1659</v>
      </c>
      <c r="J29" s="452">
        <v>2.5</v>
      </c>
      <c r="K29" s="452">
        <v>383</v>
      </c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>
        <v>28</v>
      </c>
      <c r="X29" s="402">
        <v>7.0000000000000007E-2</v>
      </c>
      <c r="Y29" s="456">
        <v>28</v>
      </c>
      <c r="Z29" s="403">
        <v>13</v>
      </c>
      <c r="AA29" s="404">
        <v>213.04900000000001</v>
      </c>
      <c r="AB29" s="404"/>
      <c r="AC29" s="452">
        <v>4</v>
      </c>
      <c r="AD29"/>
      <c r="AE29" s="314" t="s">
        <v>1844</v>
      </c>
      <c r="AF29" s="452">
        <v>1</v>
      </c>
      <c r="AG29" s="405">
        <v>43101</v>
      </c>
      <c r="AH29"/>
      <c r="AI29"/>
      <c r="AJ29" s="400">
        <v>43109</v>
      </c>
      <c r="AK29"/>
      <c r="AL29" s="396" t="s">
        <v>916</v>
      </c>
      <c r="AM29"/>
      <c r="AN29"/>
      <c r="AO29" s="456">
        <v>5965.3720000000003</v>
      </c>
      <c r="AP29" s="452">
        <v>556629</v>
      </c>
      <c r="AQ29" s="406">
        <v>43102</v>
      </c>
      <c r="AR29"/>
      <c r="AS29"/>
      <c r="AT29"/>
      <c r="AU29"/>
      <c r="AV29"/>
      <c r="AW29"/>
      <c r="AX29"/>
      <c r="AY29" t="s">
        <v>1720</v>
      </c>
      <c r="AZ29"/>
      <c r="BA29"/>
      <c r="BB29" t="s">
        <v>1726</v>
      </c>
      <c r="BC29" s="456">
        <v>1</v>
      </c>
      <c r="BD29"/>
      <c r="BE29" s="487"/>
      <c r="BF29" s="488"/>
      <c r="BG29" s="395"/>
      <c r="BH29" s="456">
        <v>1</v>
      </c>
      <c r="BI29" s="452"/>
      <c r="BJ29" s="452">
        <v>3</v>
      </c>
      <c r="BK29" s="456" t="s">
        <v>1845</v>
      </c>
      <c r="BL29" s="407" t="s">
        <v>2652</v>
      </c>
      <c r="BM29" s="456">
        <v>1</v>
      </c>
      <c r="BN29" s="407"/>
      <c r="BO29" s="407"/>
      <c r="BP29" s="407"/>
      <c r="BQ29" s="407" t="s">
        <v>1269</v>
      </c>
      <c r="BR29" s="407"/>
      <c r="BS29" s="419"/>
      <c r="BT29" s="445"/>
      <c r="BU29" s="445"/>
      <c r="BV29" s="445"/>
      <c r="BW29" s="445"/>
      <c r="BX29" s="445"/>
      <c r="BY29" s="445"/>
    </row>
    <row r="30" spans="1:77" ht="15">
      <c r="A30" t="s">
        <v>1269</v>
      </c>
      <c r="B30" t="s">
        <v>132</v>
      </c>
      <c r="C30" s="401" t="s">
        <v>1693</v>
      </c>
      <c r="D30" s="452">
        <v>0</v>
      </c>
      <c r="E30" t="s">
        <v>1718</v>
      </c>
      <c r="F30" s="452">
        <v>3</v>
      </c>
      <c r="G30" t="s">
        <v>1750</v>
      </c>
      <c r="H30" s="457">
        <v>18</v>
      </c>
      <c r="I30" t="s">
        <v>1659</v>
      </c>
      <c r="J30" s="452">
        <v>3.1</v>
      </c>
      <c r="K30" s="452">
        <v>310</v>
      </c>
      <c r="L30" s="452"/>
      <c r="M30" s="452"/>
      <c r="N30" s="452"/>
      <c r="O30" s="452"/>
      <c r="P30" s="452"/>
      <c r="Q30" s="452"/>
      <c r="R30" s="452"/>
      <c r="S30" s="452"/>
      <c r="T30" s="452">
        <v>17</v>
      </c>
      <c r="U30" s="452"/>
      <c r="V30" s="452"/>
      <c r="W30" s="452">
        <v>0</v>
      </c>
      <c r="X30" s="402">
        <v>0.05</v>
      </c>
      <c r="Y30" s="456">
        <v>17</v>
      </c>
      <c r="Z30" s="403">
        <v>28</v>
      </c>
      <c r="AA30" s="404">
        <v>247.60300000000001</v>
      </c>
      <c r="AB30" s="404"/>
      <c r="AC30" s="452">
        <v>70</v>
      </c>
      <c r="AD30"/>
      <c r="AE30" s="314" t="s">
        <v>1846</v>
      </c>
      <c r="AF30" s="452">
        <v>1</v>
      </c>
      <c r="AG30" s="405">
        <v>43101</v>
      </c>
      <c r="AH30"/>
      <c r="AI30"/>
      <c r="AJ30" s="400">
        <v>43109</v>
      </c>
      <c r="AK30"/>
      <c r="AL30" s="396" t="s">
        <v>926</v>
      </c>
      <c r="AM30"/>
      <c r="AN30"/>
      <c r="AO30" s="456">
        <v>4209.2510000000002</v>
      </c>
      <c r="AP30" s="452">
        <v>556634</v>
      </c>
      <c r="AQ30" s="406">
        <v>43102</v>
      </c>
      <c r="AR30"/>
      <c r="AS30"/>
      <c r="AT30"/>
      <c r="AU30"/>
      <c r="AV30"/>
      <c r="AW30"/>
      <c r="AX30"/>
      <c r="AY30" t="s">
        <v>1720</v>
      </c>
      <c r="AZ30"/>
      <c r="BA30"/>
      <c r="BB30" t="s">
        <v>1726</v>
      </c>
      <c r="BC30" s="456">
        <v>1</v>
      </c>
      <c r="BD30"/>
      <c r="BE30" s="487"/>
      <c r="BF30" s="488"/>
      <c r="BG30" s="395"/>
      <c r="BH30" s="456">
        <v>1</v>
      </c>
      <c r="BI30" s="452"/>
      <c r="BJ30" s="452">
        <v>4</v>
      </c>
      <c r="BK30" s="456" t="s">
        <v>1847</v>
      </c>
      <c r="BL30" s="407" t="s">
        <v>2653</v>
      </c>
      <c r="BM30" s="456">
        <v>1</v>
      </c>
      <c r="BN30" s="407"/>
      <c r="BO30" s="407"/>
      <c r="BP30" s="407"/>
      <c r="BQ30" s="407" t="s">
        <v>1269</v>
      </c>
      <c r="BR30" s="407"/>
      <c r="BS30" s="419"/>
      <c r="BT30" s="445"/>
      <c r="BU30" s="445"/>
      <c r="BV30" s="445"/>
      <c r="BW30" s="445"/>
      <c r="BX30" s="445"/>
      <c r="BY30" s="445"/>
    </row>
    <row r="31" spans="1:77" ht="15">
      <c r="A31" t="s">
        <v>1269</v>
      </c>
      <c r="B31" t="s">
        <v>132</v>
      </c>
      <c r="C31" s="401" t="s">
        <v>1693</v>
      </c>
      <c r="D31" s="452">
        <v>0</v>
      </c>
      <c r="E31" t="s">
        <v>1718</v>
      </c>
      <c r="F31" s="452">
        <v>3</v>
      </c>
      <c r="G31" t="s">
        <v>1750</v>
      </c>
      <c r="H31" s="457">
        <v>36</v>
      </c>
      <c r="I31" t="s">
        <v>1694</v>
      </c>
      <c r="J31" s="452">
        <v>5.9</v>
      </c>
      <c r="K31" s="452">
        <v>434</v>
      </c>
      <c r="L31" s="452"/>
      <c r="M31" s="452"/>
      <c r="N31" s="452"/>
      <c r="O31" s="452"/>
      <c r="P31" s="452"/>
      <c r="Q31" s="452"/>
      <c r="R31" s="452"/>
      <c r="S31" s="452"/>
      <c r="T31" s="452">
        <v>28</v>
      </c>
      <c r="U31" s="452"/>
      <c r="V31" s="452"/>
      <c r="W31" s="452">
        <v>0</v>
      </c>
      <c r="X31" s="402">
        <v>0.06</v>
      </c>
      <c r="Y31" s="456">
        <v>28</v>
      </c>
      <c r="Z31" s="403">
        <v>17</v>
      </c>
      <c r="AA31" s="404">
        <v>232.625</v>
      </c>
      <c r="AB31" s="404"/>
      <c r="AC31" s="452">
        <v>75</v>
      </c>
      <c r="AD31"/>
      <c r="AE31" s="314" t="s">
        <v>1848</v>
      </c>
      <c r="AF31" s="452">
        <v>1</v>
      </c>
      <c r="AG31" s="405">
        <v>43101</v>
      </c>
      <c r="AH31"/>
      <c r="AI31"/>
      <c r="AJ31" s="400">
        <v>43109</v>
      </c>
      <c r="AK31"/>
      <c r="AL31" s="396" t="s">
        <v>1012</v>
      </c>
      <c r="AM31"/>
      <c r="AN31"/>
      <c r="AO31" s="456">
        <v>6513.5</v>
      </c>
      <c r="AP31" s="452">
        <v>556634</v>
      </c>
      <c r="AQ31" s="406">
        <v>43102</v>
      </c>
      <c r="AR31"/>
      <c r="AS31"/>
      <c r="AT31"/>
      <c r="AU31"/>
      <c r="AV31"/>
      <c r="AW31"/>
      <c r="AX31"/>
      <c r="AY31" t="s">
        <v>1720</v>
      </c>
      <c r="AZ31"/>
      <c r="BA31"/>
      <c r="BB31" t="s">
        <v>1726</v>
      </c>
      <c r="BC31" s="456">
        <v>1</v>
      </c>
      <c r="BD31"/>
      <c r="BE31" s="487"/>
      <c r="BF31" s="488"/>
      <c r="BG31" s="395"/>
      <c r="BH31" s="456">
        <v>1</v>
      </c>
      <c r="BI31" s="452"/>
      <c r="BJ31" s="452">
        <v>5</v>
      </c>
      <c r="BK31" s="456" t="s">
        <v>1849</v>
      </c>
      <c r="BL31" s="407" t="s">
        <v>2654</v>
      </c>
      <c r="BM31" s="456">
        <v>1</v>
      </c>
      <c r="BN31" s="407"/>
      <c r="BO31" s="407"/>
      <c r="BP31" s="407"/>
      <c r="BQ31" s="407" t="s">
        <v>1269</v>
      </c>
      <c r="BR31" s="407"/>
      <c r="BS31" s="419"/>
      <c r="BT31" s="445"/>
      <c r="BU31" s="445"/>
      <c r="BV31" s="445"/>
      <c r="BW31" s="445"/>
      <c r="BX31" s="445"/>
      <c r="BY31" s="445"/>
    </row>
    <row r="32" spans="1:77" ht="15">
      <c r="A32" t="s">
        <v>31</v>
      </c>
      <c r="B32" t="s">
        <v>296</v>
      </c>
      <c r="C32" s="401" t="s">
        <v>31</v>
      </c>
      <c r="D32" s="452">
        <v>0</v>
      </c>
      <c r="E32" t="s">
        <v>1716</v>
      </c>
      <c r="F32" s="452">
        <v>3</v>
      </c>
      <c r="G32" t="s">
        <v>1661</v>
      </c>
      <c r="H32" s="457">
        <v>30</v>
      </c>
      <c r="I32" t="s">
        <v>1426</v>
      </c>
      <c r="J32" s="452">
        <v>3</v>
      </c>
      <c r="K32" s="452">
        <v>840</v>
      </c>
      <c r="L32" s="452">
        <v>0</v>
      </c>
      <c r="M32" s="452">
        <v>1</v>
      </c>
      <c r="N32" s="452">
        <v>284</v>
      </c>
      <c r="O32" s="452">
        <v>0</v>
      </c>
      <c r="P32" s="452">
        <v>0</v>
      </c>
      <c r="Q32" s="452">
        <v>28</v>
      </c>
      <c r="R32" s="452">
        <v>78</v>
      </c>
      <c r="S32" s="452">
        <v>20</v>
      </c>
      <c r="T32" s="452">
        <v>328</v>
      </c>
      <c r="U32" s="452">
        <v>26</v>
      </c>
      <c r="V32" s="452">
        <v>16</v>
      </c>
      <c r="W32" s="452">
        <v>233</v>
      </c>
      <c r="X32" s="402">
        <v>1.21</v>
      </c>
      <c r="Y32" s="456">
        <v>1014</v>
      </c>
      <c r="Z32" s="403">
        <v>338</v>
      </c>
      <c r="AA32" s="404">
        <v>78.692999999999998</v>
      </c>
      <c r="AB32" s="404">
        <v>29.074999999999999</v>
      </c>
      <c r="AC32" s="452"/>
      <c r="AD32"/>
      <c r="AE32" s="407" t="s">
        <v>1850</v>
      </c>
      <c r="AF32" s="452">
        <v>1</v>
      </c>
      <c r="AG32" s="405">
        <v>43101</v>
      </c>
      <c r="AH32"/>
      <c r="AI32"/>
      <c r="AJ32" s="400">
        <v>43109</v>
      </c>
      <c r="AK32"/>
      <c r="AL32" s="396" t="s">
        <v>1035</v>
      </c>
      <c r="AM32"/>
      <c r="AN32"/>
      <c r="AO32" s="456">
        <v>79794.702000000005</v>
      </c>
      <c r="AP32" s="452">
        <v>556622</v>
      </c>
      <c r="AQ32" s="406" t="s">
        <v>1719</v>
      </c>
      <c r="AR32"/>
      <c r="AS32"/>
      <c r="AT32"/>
      <c r="AU32"/>
      <c r="AV32"/>
      <c r="AW32"/>
      <c r="AX32"/>
      <c r="AY32" t="s">
        <v>1722</v>
      </c>
      <c r="AZ32"/>
      <c r="BA32"/>
      <c r="BB32" t="s">
        <v>1728</v>
      </c>
      <c r="BC32" s="456">
        <v>12</v>
      </c>
      <c r="BD32"/>
      <c r="BE32" s="487">
        <v>9.8000000000000007</v>
      </c>
      <c r="BF32" s="488">
        <v>40</v>
      </c>
      <c r="BG32" s="395" t="s">
        <v>1764</v>
      </c>
      <c r="BH32" s="456">
        <v>1</v>
      </c>
      <c r="BI32" s="452"/>
      <c r="BJ32" s="452">
        <v>2</v>
      </c>
      <c r="BK32" s="456" t="s">
        <v>1851</v>
      </c>
      <c r="BL32" s="407" t="s">
        <v>2655</v>
      </c>
      <c r="BM32" s="456">
        <v>1</v>
      </c>
      <c r="BN32" s="407" t="s">
        <v>1765</v>
      </c>
      <c r="BO32" s="407" t="s">
        <v>1765</v>
      </c>
      <c r="BP32" s="407" t="s">
        <v>1765</v>
      </c>
      <c r="BQ32" s="407" t="s">
        <v>31</v>
      </c>
      <c r="BR32" s="407"/>
      <c r="BS32" s="419"/>
      <c r="BT32" s="445"/>
      <c r="BU32" s="445"/>
      <c r="BV32" s="445"/>
      <c r="BW32" s="445"/>
      <c r="BX32" s="445"/>
      <c r="BY32" s="445"/>
    </row>
    <row r="33" spans="1:77" ht="15">
      <c r="A33" t="s">
        <v>1269</v>
      </c>
      <c r="B33" t="s">
        <v>19</v>
      </c>
      <c r="C33" s="401" t="s">
        <v>1619</v>
      </c>
      <c r="D33" s="452">
        <v>0</v>
      </c>
      <c r="E33" t="s">
        <v>1718</v>
      </c>
      <c r="F33" s="452">
        <v>3</v>
      </c>
      <c r="G33" t="s">
        <v>1750</v>
      </c>
      <c r="H33" s="456">
        <v>77</v>
      </c>
      <c r="I33" t="s">
        <v>1685</v>
      </c>
      <c r="J33" s="452">
        <v>5.4</v>
      </c>
      <c r="K33" s="452">
        <v>544</v>
      </c>
      <c r="L33" s="452"/>
      <c r="M33" s="452"/>
      <c r="N33" s="452">
        <v>5</v>
      </c>
      <c r="O33" s="452"/>
      <c r="P33" s="452"/>
      <c r="Q33" s="452"/>
      <c r="R33" s="452"/>
      <c r="S33" s="452"/>
      <c r="T33" s="452">
        <v>140</v>
      </c>
      <c r="U33" s="452"/>
      <c r="V33" s="452"/>
      <c r="W33" s="452">
        <v>10</v>
      </c>
      <c r="X33" s="402">
        <v>0.28000000000000003</v>
      </c>
      <c r="Y33" s="456">
        <v>155</v>
      </c>
      <c r="Z33" s="403">
        <v>31</v>
      </c>
      <c r="AA33" s="404">
        <v>92.813000000000002</v>
      </c>
      <c r="AB33" s="404"/>
      <c r="AC33" s="452">
        <v>13</v>
      </c>
      <c r="AD33"/>
      <c r="AE33" s="407" t="s">
        <v>1852</v>
      </c>
      <c r="AF33" s="452">
        <v>1</v>
      </c>
      <c r="AG33" s="405">
        <v>43101</v>
      </c>
      <c r="AH33"/>
      <c r="AI33"/>
      <c r="AJ33" s="400">
        <v>43109</v>
      </c>
      <c r="AK33"/>
      <c r="AL33" s="396" t="s">
        <v>912</v>
      </c>
      <c r="AM33"/>
      <c r="AN33"/>
      <c r="AO33" s="456">
        <v>14386.014999999999</v>
      </c>
      <c r="AP33" s="452">
        <v>555641</v>
      </c>
      <c r="AQ33" s="406">
        <v>43102</v>
      </c>
      <c r="AR33"/>
      <c r="AS33"/>
      <c r="AT33"/>
      <c r="AU33"/>
      <c r="AV33"/>
      <c r="AW33"/>
      <c r="AX33"/>
      <c r="AY33" t="s">
        <v>1720</v>
      </c>
      <c r="AZ33"/>
      <c r="BA33"/>
      <c r="BB33" t="s">
        <v>1726</v>
      </c>
      <c r="BC33" s="456">
        <v>1</v>
      </c>
      <c r="BD33"/>
      <c r="BE33" s="487"/>
      <c r="BF33" s="488"/>
      <c r="BG33" s="395"/>
      <c r="BH33" s="456">
        <v>1</v>
      </c>
      <c r="BI33" s="452"/>
      <c r="BJ33" s="452">
        <v>6</v>
      </c>
      <c r="BK33" s="456" t="s">
        <v>70</v>
      </c>
      <c r="BL33" s="407" t="s">
        <v>2656</v>
      </c>
      <c r="BM33" s="456">
        <v>1</v>
      </c>
      <c r="BN33" s="407"/>
      <c r="BO33" s="407"/>
      <c r="BP33" s="407"/>
      <c r="BQ33" s="407" t="s">
        <v>1269</v>
      </c>
      <c r="BR33" s="407"/>
      <c r="BS33" s="419"/>
      <c r="BT33" s="445"/>
      <c r="BU33" s="445"/>
      <c r="BV33" s="445"/>
      <c r="BW33" s="445"/>
      <c r="BX33" s="445"/>
      <c r="BY33" s="445"/>
    </row>
    <row r="34" spans="1:77" ht="15">
      <c r="A34" t="s">
        <v>1269</v>
      </c>
      <c r="B34" s="398" t="s">
        <v>85</v>
      </c>
      <c r="C34" s="399" t="s">
        <v>1693</v>
      </c>
      <c r="D34" s="453">
        <v>0</v>
      </c>
      <c r="E34" s="398" t="s">
        <v>1718</v>
      </c>
      <c r="F34" s="453">
        <v>3</v>
      </c>
      <c r="G34" s="398" t="s">
        <v>1750</v>
      </c>
      <c r="H34" s="453">
        <v>55</v>
      </c>
      <c r="I34" s="371" t="s">
        <v>1632</v>
      </c>
      <c r="J34" s="453">
        <v>6.3</v>
      </c>
      <c r="K34" s="453">
        <v>1947</v>
      </c>
      <c r="L34" s="453"/>
      <c r="M34" s="453"/>
      <c r="N34" s="453">
        <v>0</v>
      </c>
      <c r="O34" s="453"/>
      <c r="P34" s="453"/>
      <c r="Q34" s="453"/>
      <c r="R34" s="453"/>
      <c r="S34" s="453"/>
      <c r="T34" s="453">
        <v>0</v>
      </c>
      <c r="U34" s="453"/>
      <c r="V34" s="453"/>
      <c r="W34" s="453">
        <v>156</v>
      </c>
      <c r="X34" s="313">
        <v>0.08</v>
      </c>
      <c r="Y34" s="486">
        <v>156</v>
      </c>
      <c r="Z34" s="409">
        <v>33</v>
      </c>
      <c r="AA34" s="410">
        <v>170.518</v>
      </c>
      <c r="AB34" s="410"/>
      <c r="AC34" s="460">
        <v>50</v>
      </c>
      <c r="AD34" s="408"/>
      <c r="AE34" s="411" t="s">
        <v>1853</v>
      </c>
      <c r="AF34" s="452">
        <v>1</v>
      </c>
      <c r="AG34" s="405">
        <v>43101</v>
      </c>
      <c r="AH34" s="408"/>
      <c r="AI34" s="408"/>
      <c r="AJ34" s="400">
        <v>43109</v>
      </c>
      <c r="AK34" s="408"/>
      <c r="AL34" s="396" t="s">
        <v>1008</v>
      </c>
      <c r="AM34" s="408"/>
      <c r="AN34" s="408"/>
      <c r="AO34" s="456">
        <v>26600.808000000001</v>
      </c>
      <c r="AP34" s="452">
        <v>556631</v>
      </c>
      <c r="AQ34" s="406">
        <v>43102</v>
      </c>
      <c r="AR34" s="408"/>
      <c r="AS34" s="408"/>
      <c r="AT34" s="408"/>
      <c r="AU34" s="408"/>
      <c r="AV34" s="408"/>
      <c r="AW34" s="408"/>
      <c r="AX34" s="408"/>
      <c r="AY34" t="s">
        <v>1717</v>
      </c>
      <c r="AZ34" s="408"/>
      <c r="BA34" s="408"/>
      <c r="BB34" t="s">
        <v>1727</v>
      </c>
      <c r="BC34" s="456">
        <v>1</v>
      </c>
      <c r="BD34" s="408"/>
      <c r="BE34" s="487"/>
      <c r="BF34" s="488"/>
      <c r="BG34" s="395"/>
      <c r="BH34" s="486">
        <v>1</v>
      </c>
      <c r="BI34" s="460"/>
      <c r="BJ34" s="460">
        <v>9</v>
      </c>
      <c r="BK34" s="486" t="s">
        <v>1854</v>
      </c>
      <c r="BL34" s="411" t="s">
        <v>2657</v>
      </c>
      <c r="BM34" s="486">
        <v>1</v>
      </c>
      <c r="BN34" s="407"/>
      <c r="BO34" s="407"/>
      <c r="BP34" s="407"/>
      <c r="BQ34" t="s">
        <v>1269</v>
      </c>
      <c r="BR34" s="407"/>
      <c r="BS34" s="419"/>
      <c r="BT34" s="445"/>
      <c r="BU34" s="445"/>
      <c r="BV34" s="445"/>
      <c r="BW34" s="445"/>
      <c r="BX34" s="445"/>
      <c r="BY34" s="445"/>
    </row>
    <row r="35" spans="1:77" ht="15">
      <c r="A35" t="s">
        <v>1269</v>
      </c>
      <c r="B35" s="398" t="s">
        <v>85</v>
      </c>
      <c r="C35" s="399" t="s">
        <v>1619</v>
      </c>
      <c r="D35" s="453">
        <v>0</v>
      </c>
      <c r="E35" s="398" t="s">
        <v>1718</v>
      </c>
      <c r="F35" s="453">
        <v>3</v>
      </c>
      <c r="G35" s="398" t="s">
        <v>1750</v>
      </c>
      <c r="H35" s="453">
        <v>98</v>
      </c>
      <c r="I35" s="371" t="s">
        <v>1684</v>
      </c>
      <c r="J35" s="453">
        <v>2.5</v>
      </c>
      <c r="K35" s="453">
        <v>988</v>
      </c>
      <c r="L35" s="453"/>
      <c r="M35" s="453">
        <v>38</v>
      </c>
      <c r="N35" s="453">
        <v>0</v>
      </c>
      <c r="O35" s="453"/>
      <c r="P35" s="453"/>
      <c r="Q35" s="453"/>
      <c r="R35" s="453"/>
      <c r="S35" s="453">
        <v>500</v>
      </c>
      <c r="T35" s="453">
        <v>0</v>
      </c>
      <c r="U35" s="453"/>
      <c r="V35" s="453">
        <v>37</v>
      </c>
      <c r="W35" s="453">
        <v>0</v>
      </c>
      <c r="X35" s="313">
        <v>0.57999999999999996</v>
      </c>
      <c r="Y35" s="486">
        <v>575</v>
      </c>
      <c r="Z35" s="409">
        <v>248</v>
      </c>
      <c r="AA35" s="410">
        <v>68.587999999999994</v>
      </c>
      <c r="AB35" s="410"/>
      <c r="AC35" s="460">
        <v>46</v>
      </c>
      <c r="AD35" s="408"/>
      <c r="AE35" s="411" t="s">
        <v>1855</v>
      </c>
      <c r="AF35" s="452">
        <v>1</v>
      </c>
      <c r="AG35" s="405">
        <v>43101</v>
      </c>
      <c r="AH35" s="408"/>
      <c r="AI35" s="408"/>
      <c r="AJ35" s="400">
        <v>43109</v>
      </c>
      <c r="AK35" s="408"/>
      <c r="AL35" s="396" t="s">
        <v>1713</v>
      </c>
      <c r="AM35" s="408"/>
      <c r="AN35" s="408"/>
      <c r="AO35" s="456">
        <v>39438.1</v>
      </c>
      <c r="AP35" s="452">
        <v>556632</v>
      </c>
      <c r="AQ35" s="406">
        <v>43102</v>
      </c>
      <c r="AR35" s="408"/>
      <c r="AS35" s="408"/>
      <c r="AT35" s="408"/>
      <c r="AU35" s="408"/>
      <c r="AV35" s="408"/>
      <c r="AW35" s="408"/>
      <c r="AX35" s="408"/>
      <c r="AY35" t="s">
        <v>1717</v>
      </c>
      <c r="AZ35" s="408"/>
      <c r="BA35" s="408"/>
      <c r="BB35" t="s">
        <v>1727</v>
      </c>
      <c r="BC35" s="456">
        <v>1</v>
      </c>
      <c r="BD35" s="408"/>
      <c r="BE35" s="487"/>
      <c r="BF35" s="488"/>
      <c r="BG35" s="395"/>
      <c r="BH35" s="486">
        <v>1</v>
      </c>
      <c r="BI35" s="460"/>
      <c r="BJ35" s="460">
        <v>10</v>
      </c>
      <c r="BK35" s="486" t="s">
        <v>1856</v>
      </c>
      <c r="BL35" s="411" t="s">
        <v>2658</v>
      </c>
      <c r="BM35" s="486">
        <v>1</v>
      </c>
      <c r="BN35" s="407"/>
      <c r="BO35" s="407"/>
      <c r="BP35" s="407"/>
      <c r="BQ35" s="407" t="s">
        <v>1269</v>
      </c>
      <c r="BR35" s="407"/>
      <c r="BS35" s="419"/>
      <c r="BT35" s="445"/>
      <c r="BU35" s="445"/>
      <c r="BV35" s="445"/>
      <c r="BW35" s="445"/>
      <c r="BX35" s="445"/>
      <c r="BY35" s="445"/>
    </row>
    <row r="36" spans="1:77" ht="15">
      <c r="A36" t="s">
        <v>1269</v>
      </c>
      <c r="B36" s="398" t="s">
        <v>19</v>
      </c>
      <c r="C36" s="399" t="s">
        <v>1619</v>
      </c>
      <c r="D36" s="453">
        <v>0</v>
      </c>
      <c r="E36" s="398" t="s">
        <v>1718</v>
      </c>
      <c r="F36" s="453">
        <v>3</v>
      </c>
      <c r="G36" s="398" t="s">
        <v>1750</v>
      </c>
      <c r="H36" s="453">
        <v>2</v>
      </c>
      <c r="I36" s="371" t="s">
        <v>1632</v>
      </c>
      <c r="J36" s="453">
        <v>1.6</v>
      </c>
      <c r="K36" s="453">
        <v>258</v>
      </c>
      <c r="L36" s="453"/>
      <c r="M36" s="453">
        <v>0</v>
      </c>
      <c r="N36" s="453">
        <v>20</v>
      </c>
      <c r="O36" s="453"/>
      <c r="P36" s="453"/>
      <c r="Q36" s="453"/>
      <c r="R36" s="453"/>
      <c r="S36" s="453">
        <v>88</v>
      </c>
      <c r="T36" s="453">
        <v>0</v>
      </c>
      <c r="U36" s="453"/>
      <c r="V36" s="453">
        <v>0</v>
      </c>
      <c r="W36" s="453">
        <v>0</v>
      </c>
      <c r="X36" s="313">
        <v>0.42</v>
      </c>
      <c r="Y36" s="486">
        <v>108</v>
      </c>
      <c r="Z36" s="409">
        <v>73</v>
      </c>
      <c r="AA36" s="410">
        <v>75.734999999999999</v>
      </c>
      <c r="AB36" s="410"/>
      <c r="AC36" s="460">
        <v>9</v>
      </c>
      <c r="AD36" s="408"/>
      <c r="AE36" s="411" t="s">
        <v>1857</v>
      </c>
      <c r="AF36" s="452">
        <v>1</v>
      </c>
      <c r="AG36" s="405">
        <v>43101</v>
      </c>
      <c r="AH36" s="408"/>
      <c r="AI36" s="408"/>
      <c r="AJ36" s="400">
        <v>43109</v>
      </c>
      <c r="AK36" s="408"/>
      <c r="AL36" s="396" t="s">
        <v>999</v>
      </c>
      <c r="AM36" s="408"/>
      <c r="AN36" s="408"/>
      <c r="AO36" s="456">
        <v>8179.38</v>
      </c>
      <c r="AP36" s="452">
        <v>556641</v>
      </c>
      <c r="AQ36" s="406">
        <v>43102</v>
      </c>
      <c r="AR36" s="408"/>
      <c r="AS36" s="408"/>
      <c r="AT36" s="408"/>
      <c r="AU36" s="408"/>
      <c r="AV36" s="408"/>
      <c r="AW36" s="408"/>
      <c r="AX36" s="408"/>
      <c r="AY36" t="s">
        <v>1720</v>
      </c>
      <c r="AZ36" s="408"/>
      <c r="BA36" s="408"/>
      <c r="BB36" t="s">
        <v>1726</v>
      </c>
      <c r="BC36" s="456">
        <v>1</v>
      </c>
      <c r="BD36" s="408"/>
      <c r="BE36" s="487"/>
      <c r="BF36" s="488"/>
      <c r="BG36" s="395"/>
      <c r="BH36" s="486">
        <v>1</v>
      </c>
      <c r="BI36" s="460"/>
      <c r="BJ36" s="460">
        <v>7</v>
      </c>
      <c r="BK36" s="486" t="s">
        <v>1858</v>
      </c>
      <c r="BL36" s="411" t="s">
        <v>2659</v>
      </c>
      <c r="BM36" s="486">
        <v>1</v>
      </c>
      <c r="BN36" s="407"/>
      <c r="BO36" s="407"/>
      <c r="BP36" s="407"/>
      <c r="BQ36" s="407" t="s">
        <v>1269</v>
      </c>
      <c r="BR36" s="407"/>
      <c r="BS36" s="419"/>
      <c r="BT36" s="445"/>
      <c r="BU36" s="445"/>
      <c r="BV36" s="445"/>
      <c r="BW36" s="445"/>
      <c r="BX36" s="445"/>
      <c r="BY36" s="445"/>
    </row>
    <row r="37" spans="1:77" ht="15">
      <c r="A37" t="s">
        <v>1269</v>
      </c>
      <c r="B37" s="398" t="s">
        <v>19</v>
      </c>
      <c r="C37" s="399" t="s">
        <v>1619</v>
      </c>
      <c r="D37" s="453">
        <v>0</v>
      </c>
      <c r="E37" s="398" t="s">
        <v>1718</v>
      </c>
      <c r="F37" s="453">
        <v>3</v>
      </c>
      <c r="G37" s="398" t="s">
        <v>1750</v>
      </c>
      <c r="H37" s="453">
        <v>12</v>
      </c>
      <c r="I37" s="371" t="s">
        <v>1687</v>
      </c>
      <c r="J37" s="453">
        <v>0.3</v>
      </c>
      <c r="K37" s="453">
        <v>59</v>
      </c>
      <c r="L37" s="453"/>
      <c r="M37" s="453">
        <v>0</v>
      </c>
      <c r="N37" s="453">
        <v>0</v>
      </c>
      <c r="O37" s="453"/>
      <c r="P37" s="453"/>
      <c r="Q37" s="453"/>
      <c r="R37" s="453"/>
      <c r="S37" s="453">
        <v>0</v>
      </c>
      <c r="T37" s="453">
        <v>0</v>
      </c>
      <c r="U37" s="453"/>
      <c r="V37" s="453">
        <v>0</v>
      </c>
      <c r="W37" s="453">
        <v>5</v>
      </c>
      <c r="X37" s="313">
        <v>0.08</v>
      </c>
      <c r="Y37" s="486">
        <v>5</v>
      </c>
      <c r="Z37" s="409">
        <v>20</v>
      </c>
      <c r="AA37" s="410">
        <v>184.233</v>
      </c>
      <c r="AB37" s="410"/>
      <c r="AC37" s="460">
        <v>1</v>
      </c>
      <c r="AD37" s="408"/>
      <c r="AE37" s="411" t="s">
        <v>1859</v>
      </c>
      <c r="AF37" s="452">
        <v>1</v>
      </c>
      <c r="AG37" s="405">
        <v>43101</v>
      </c>
      <c r="AH37" s="408"/>
      <c r="AI37" s="408"/>
      <c r="AJ37" s="400">
        <v>43109</v>
      </c>
      <c r="AK37" s="408"/>
      <c r="AL37" s="396" t="s">
        <v>999</v>
      </c>
      <c r="AM37" s="408"/>
      <c r="AN37" s="408"/>
      <c r="AO37" s="456">
        <v>921.16499999999996</v>
      </c>
      <c r="AP37" s="452">
        <v>556641</v>
      </c>
      <c r="AQ37" s="406">
        <v>43102</v>
      </c>
      <c r="AR37" s="408"/>
      <c r="AS37" s="408"/>
      <c r="AT37" s="408"/>
      <c r="AU37" s="408"/>
      <c r="AV37" s="408"/>
      <c r="AW37" s="408"/>
      <c r="AX37" s="408"/>
      <c r="AY37" t="s">
        <v>1720</v>
      </c>
      <c r="AZ37" s="408"/>
      <c r="BA37" s="408"/>
      <c r="BB37" t="s">
        <v>1726</v>
      </c>
      <c r="BC37" s="456">
        <v>1</v>
      </c>
      <c r="BD37" s="408"/>
      <c r="BE37" s="487"/>
      <c r="BF37" s="488"/>
      <c r="BG37" s="395"/>
      <c r="BH37" s="486">
        <v>1</v>
      </c>
      <c r="BI37" s="460"/>
      <c r="BJ37" s="460">
        <v>10</v>
      </c>
      <c r="BK37" s="486" t="s">
        <v>1860</v>
      </c>
      <c r="BL37" s="411" t="s">
        <v>2660</v>
      </c>
      <c r="BM37" s="486">
        <v>1</v>
      </c>
      <c r="BN37" s="407"/>
      <c r="BO37" s="407"/>
      <c r="BP37" s="407"/>
      <c r="BQ37" s="407" t="s">
        <v>1269</v>
      </c>
      <c r="BR37" s="407"/>
      <c r="BS37" s="419"/>
      <c r="BT37" s="445"/>
      <c r="BU37" s="445"/>
      <c r="BV37" s="445"/>
      <c r="BW37" s="445"/>
      <c r="BX37" s="445"/>
      <c r="BY37" s="445"/>
    </row>
    <row r="38" spans="1:77" ht="15">
      <c r="A38" t="s">
        <v>1269</v>
      </c>
      <c r="B38" s="398" t="s">
        <v>177</v>
      </c>
      <c r="C38" s="399" t="s">
        <v>1619</v>
      </c>
      <c r="D38" s="453">
        <v>0</v>
      </c>
      <c r="E38" s="398" t="s">
        <v>1718</v>
      </c>
      <c r="F38" s="453">
        <v>3</v>
      </c>
      <c r="G38" s="398" t="s">
        <v>1750</v>
      </c>
      <c r="H38" s="453">
        <v>26</v>
      </c>
      <c r="I38" s="371" t="s">
        <v>1664</v>
      </c>
      <c r="J38" s="453">
        <v>0.7</v>
      </c>
      <c r="K38" s="453">
        <v>102</v>
      </c>
      <c r="L38" s="453"/>
      <c r="M38" s="453">
        <v>0</v>
      </c>
      <c r="N38" s="453">
        <v>0</v>
      </c>
      <c r="O38" s="453"/>
      <c r="P38" s="453"/>
      <c r="Q38" s="453"/>
      <c r="R38" s="453"/>
      <c r="S38" s="453">
        <v>0</v>
      </c>
      <c r="T38" s="453">
        <v>0</v>
      </c>
      <c r="U38" s="453"/>
      <c r="V38" s="453">
        <v>0</v>
      </c>
      <c r="W38" s="453">
        <v>10</v>
      </c>
      <c r="X38" s="313">
        <v>0.1</v>
      </c>
      <c r="Y38" s="486">
        <v>10</v>
      </c>
      <c r="Z38" s="409">
        <v>16</v>
      </c>
      <c r="AA38" s="410">
        <v>155.04900000000001</v>
      </c>
      <c r="AB38" s="410"/>
      <c r="AC38" s="460">
        <v>1</v>
      </c>
      <c r="AD38" s="408"/>
      <c r="AE38" s="411" t="s">
        <v>1861</v>
      </c>
      <c r="AF38" s="452">
        <v>1</v>
      </c>
      <c r="AG38" s="405">
        <v>43101</v>
      </c>
      <c r="AH38" s="408"/>
      <c r="AI38" s="408"/>
      <c r="AJ38" s="400">
        <v>43109</v>
      </c>
      <c r="AK38" s="408"/>
      <c r="AL38" s="396" t="s">
        <v>920</v>
      </c>
      <c r="AM38" s="408"/>
      <c r="AN38" s="408"/>
      <c r="AO38" s="456">
        <v>1550.49</v>
      </c>
      <c r="AP38" s="452">
        <v>556638</v>
      </c>
      <c r="AQ38" s="406">
        <v>43102</v>
      </c>
      <c r="AR38" s="408"/>
      <c r="AS38" s="408"/>
      <c r="AT38" s="408"/>
      <c r="AU38" s="408"/>
      <c r="AV38" s="408"/>
      <c r="AW38" s="408"/>
      <c r="AX38" s="408"/>
      <c r="AY38" t="s">
        <v>1717</v>
      </c>
      <c r="AZ38" s="408"/>
      <c r="BA38" s="408"/>
      <c r="BB38" t="s">
        <v>1727</v>
      </c>
      <c r="BC38" s="456">
        <v>1</v>
      </c>
      <c r="BD38" s="408"/>
      <c r="BE38" s="487"/>
      <c r="BF38" s="488"/>
      <c r="BG38" s="395"/>
      <c r="BH38" s="486">
        <v>1</v>
      </c>
      <c r="BI38" s="460"/>
      <c r="BJ38" s="460">
        <v>10</v>
      </c>
      <c r="BK38" s="486" t="s">
        <v>1862</v>
      </c>
      <c r="BL38" s="411" t="s">
        <v>2661</v>
      </c>
      <c r="BM38" s="486">
        <v>1</v>
      </c>
      <c r="BN38" s="407"/>
      <c r="BO38" s="407"/>
      <c r="BP38" s="407"/>
      <c r="BQ38" s="407" t="s">
        <v>1269</v>
      </c>
      <c r="BR38" s="407"/>
      <c r="BS38" s="419"/>
      <c r="BT38" s="445"/>
      <c r="BU38" s="445"/>
      <c r="BV38" s="445"/>
      <c r="BW38" s="445"/>
      <c r="BX38" s="445"/>
      <c r="BY38" s="445"/>
    </row>
    <row r="39" spans="1:77" ht="15">
      <c r="A39" t="s">
        <v>1269</v>
      </c>
      <c r="B39" s="398" t="s">
        <v>177</v>
      </c>
      <c r="C39" s="399" t="s">
        <v>1693</v>
      </c>
      <c r="D39" s="453">
        <v>0</v>
      </c>
      <c r="E39" s="398" t="s">
        <v>1718</v>
      </c>
      <c r="F39" s="453">
        <v>3</v>
      </c>
      <c r="G39" s="398" t="s">
        <v>1750</v>
      </c>
      <c r="H39" s="453">
        <v>22</v>
      </c>
      <c r="I39" s="371" t="s">
        <v>1684</v>
      </c>
      <c r="J39" s="453">
        <v>1.8</v>
      </c>
      <c r="K39" s="453">
        <v>253</v>
      </c>
      <c r="L39" s="453"/>
      <c r="M39" s="453">
        <v>0</v>
      </c>
      <c r="N39" s="453">
        <v>0</v>
      </c>
      <c r="O39" s="453"/>
      <c r="P39" s="453"/>
      <c r="Q39" s="453"/>
      <c r="R39" s="453"/>
      <c r="S39" s="453">
        <v>0</v>
      </c>
      <c r="T39" s="453">
        <v>0</v>
      </c>
      <c r="U39" s="453"/>
      <c r="V39" s="453">
        <v>0</v>
      </c>
      <c r="W39" s="453">
        <v>22</v>
      </c>
      <c r="X39" s="313">
        <v>0.09</v>
      </c>
      <c r="Y39" s="486">
        <v>22</v>
      </c>
      <c r="Z39" s="409">
        <v>13</v>
      </c>
      <c r="AA39" s="410">
        <v>179.89500000000001</v>
      </c>
      <c r="AB39" s="410"/>
      <c r="AC39" s="460">
        <v>1</v>
      </c>
      <c r="AD39" s="408"/>
      <c r="AE39" s="411" t="s">
        <v>1863</v>
      </c>
      <c r="AF39" s="452">
        <v>1</v>
      </c>
      <c r="AG39" s="405">
        <v>43101</v>
      </c>
      <c r="AH39" s="408"/>
      <c r="AI39" s="408"/>
      <c r="AJ39" s="400">
        <v>43109</v>
      </c>
      <c r="AK39" s="408"/>
      <c r="AL39" s="396" t="s">
        <v>920</v>
      </c>
      <c r="AM39" s="408"/>
      <c r="AN39" s="408"/>
      <c r="AO39" s="456">
        <v>3957.69</v>
      </c>
      <c r="AP39" s="452">
        <v>556637</v>
      </c>
      <c r="AQ39" s="406">
        <v>43102</v>
      </c>
      <c r="AR39" s="408"/>
      <c r="AS39" s="408"/>
      <c r="AT39" s="408"/>
      <c r="AU39" s="408"/>
      <c r="AV39" s="408"/>
      <c r="AW39" s="408"/>
      <c r="AX39" s="408"/>
      <c r="AY39" t="s">
        <v>1717</v>
      </c>
      <c r="AZ39" s="408"/>
      <c r="BA39" s="408"/>
      <c r="BB39" t="s">
        <v>1727</v>
      </c>
      <c r="BC39" s="456">
        <v>1</v>
      </c>
      <c r="BD39" s="408"/>
      <c r="BE39" s="487"/>
      <c r="BF39" s="488"/>
      <c r="BG39" s="395"/>
      <c r="BH39" s="486">
        <v>1</v>
      </c>
      <c r="BI39" s="460"/>
      <c r="BJ39" s="460">
        <v>9</v>
      </c>
      <c r="BK39" s="486" t="s">
        <v>1864</v>
      </c>
      <c r="BL39" s="411" t="s">
        <v>2662</v>
      </c>
      <c r="BM39" s="486">
        <v>1</v>
      </c>
      <c r="BN39" s="407"/>
      <c r="BO39" s="407"/>
      <c r="BP39" s="407"/>
      <c r="BQ39" s="407" t="s">
        <v>1269</v>
      </c>
      <c r="BR39" s="407"/>
      <c r="BS39" s="419"/>
      <c r="BT39" s="445"/>
      <c r="BU39" s="445"/>
      <c r="BV39" s="445"/>
      <c r="BW39" s="445"/>
      <c r="BX39" s="445"/>
      <c r="BY39" s="445"/>
    </row>
    <row r="40" spans="1:77" ht="15">
      <c r="A40" t="s">
        <v>1269</v>
      </c>
      <c r="B40" s="398" t="s">
        <v>177</v>
      </c>
      <c r="C40" s="399" t="s">
        <v>1682</v>
      </c>
      <c r="D40" s="453">
        <v>0</v>
      </c>
      <c r="E40" s="398" t="s">
        <v>1718</v>
      </c>
      <c r="F40" s="453">
        <v>3</v>
      </c>
      <c r="G40" s="398" t="s">
        <v>1750</v>
      </c>
      <c r="H40" s="453">
        <v>32</v>
      </c>
      <c r="I40" s="371" t="s">
        <v>1688</v>
      </c>
      <c r="J40" s="453">
        <v>4.0999999999999996</v>
      </c>
      <c r="K40" s="453">
        <v>118</v>
      </c>
      <c r="L40" s="453"/>
      <c r="M40" s="453">
        <v>0</v>
      </c>
      <c r="N40" s="453">
        <v>11</v>
      </c>
      <c r="O40" s="453"/>
      <c r="P40" s="453"/>
      <c r="Q40" s="453"/>
      <c r="R40" s="453">
        <v>2</v>
      </c>
      <c r="S40" s="453">
        <v>0</v>
      </c>
      <c r="T40" s="453">
        <v>37</v>
      </c>
      <c r="U40" s="453"/>
      <c r="V40" s="453">
        <v>0</v>
      </c>
      <c r="W40" s="453">
        <v>4</v>
      </c>
      <c r="X40" s="313">
        <v>0.46</v>
      </c>
      <c r="Y40" s="486">
        <v>54</v>
      </c>
      <c r="Z40" s="409">
        <v>14</v>
      </c>
      <c r="AA40" s="410">
        <v>129.62200000000001</v>
      </c>
      <c r="AB40" s="410"/>
      <c r="AC40" s="460">
        <v>4</v>
      </c>
      <c r="AD40" s="408"/>
      <c r="AE40" s="411" t="s">
        <v>1865</v>
      </c>
      <c r="AF40" s="452">
        <v>1</v>
      </c>
      <c r="AG40" s="405">
        <v>43101</v>
      </c>
      <c r="AH40" s="408"/>
      <c r="AI40" s="408"/>
      <c r="AJ40" s="400">
        <v>43109</v>
      </c>
      <c r="AK40" s="408"/>
      <c r="AL40" s="396" t="s">
        <v>1681</v>
      </c>
      <c r="AM40" s="408"/>
      <c r="AN40" s="408"/>
      <c r="AO40" s="456">
        <v>6999.5879999999997</v>
      </c>
      <c r="AP40" s="452">
        <v>556643</v>
      </c>
      <c r="AQ40" s="406">
        <v>43122</v>
      </c>
      <c r="AR40" s="408"/>
      <c r="AS40" s="408"/>
      <c r="AT40" s="408"/>
      <c r="AU40" s="408"/>
      <c r="AV40" s="408"/>
      <c r="AW40" s="408"/>
      <c r="AX40" s="408"/>
      <c r="AY40" t="s">
        <v>1717</v>
      </c>
      <c r="AZ40" s="408"/>
      <c r="BA40" s="408"/>
      <c r="BB40" t="s">
        <v>1727</v>
      </c>
      <c r="BC40" s="456">
        <v>1</v>
      </c>
      <c r="BD40" s="408"/>
      <c r="BE40" s="487"/>
      <c r="BF40" s="488"/>
      <c r="BG40" s="395"/>
      <c r="BH40" s="486">
        <v>1</v>
      </c>
      <c r="BI40" s="460"/>
      <c r="BJ40" s="460">
        <v>11</v>
      </c>
      <c r="BK40" s="486" t="s">
        <v>1866</v>
      </c>
      <c r="BL40" s="411" t="s">
        <v>2663</v>
      </c>
      <c r="BM40" s="486">
        <v>1</v>
      </c>
      <c r="BN40" s="407"/>
      <c r="BO40" s="407"/>
      <c r="BP40" s="407"/>
      <c r="BQ40" s="407" t="s">
        <v>1269</v>
      </c>
      <c r="BR40" s="407"/>
      <c r="BS40" s="419"/>
      <c r="BT40" s="445"/>
      <c r="BU40" s="445"/>
      <c r="BV40" s="445"/>
      <c r="BW40" s="445"/>
      <c r="BX40" s="445"/>
      <c r="BY40" s="445"/>
    </row>
    <row r="41" spans="1:77" ht="15">
      <c r="A41" t="s">
        <v>1269</v>
      </c>
      <c r="B41" s="398" t="s">
        <v>177</v>
      </c>
      <c r="C41" s="399" t="s">
        <v>1682</v>
      </c>
      <c r="D41" s="453">
        <v>0</v>
      </c>
      <c r="E41" s="398" t="s">
        <v>1718</v>
      </c>
      <c r="F41" s="453">
        <v>3</v>
      </c>
      <c r="G41" s="398" t="s">
        <v>1750</v>
      </c>
      <c r="H41" s="453">
        <v>72</v>
      </c>
      <c r="I41" s="371" t="s">
        <v>1683</v>
      </c>
      <c r="J41" s="453">
        <v>4.8</v>
      </c>
      <c r="K41" s="453">
        <v>279</v>
      </c>
      <c r="L41" s="453"/>
      <c r="M41" s="453">
        <v>8</v>
      </c>
      <c r="N41" s="453">
        <v>8</v>
      </c>
      <c r="O41" s="453"/>
      <c r="P41" s="453"/>
      <c r="Q41" s="453"/>
      <c r="R41" s="453">
        <v>13</v>
      </c>
      <c r="S41" s="453">
        <v>40</v>
      </c>
      <c r="T41" s="453">
        <v>31</v>
      </c>
      <c r="U41" s="453"/>
      <c r="V41" s="453">
        <v>2</v>
      </c>
      <c r="W41" s="453">
        <v>4</v>
      </c>
      <c r="X41" s="313">
        <v>0.38</v>
      </c>
      <c r="Y41" s="486">
        <v>106</v>
      </c>
      <c r="Z41" s="409">
        <v>25</v>
      </c>
      <c r="AA41" s="410">
        <v>76.143000000000001</v>
      </c>
      <c r="AB41" s="410"/>
      <c r="AC41" s="460">
        <v>16</v>
      </c>
      <c r="AD41" s="408"/>
      <c r="AE41" s="411" t="s">
        <v>1867</v>
      </c>
      <c r="AF41" s="452">
        <v>1</v>
      </c>
      <c r="AG41" s="405">
        <v>43101</v>
      </c>
      <c r="AH41" s="408"/>
      <c r="AI41" s="408"/>
      <c r="AJ41" s="400">
        <v>43109</v>
      </c>
      <c r="AK41" s="408"/>
      <c r="AL41" s="396" t="s">
        <v>920</v>
      </c>
      <c r="AM41" s="408"/>
      <c r="AN41" s="408"/>
      <c r="AO41" s="456">
        <v>8071.1580000000004</v>
      </c>
      <c r="AP41" s="452">
        <v>556643</v>
      </c>
      <c r="AQ41" s="406">
        <v>43122</v>
      </c>
      <c r="AR41" s="408"/>
      <c r="AS41" s="408"/>
      <c r="AT41" s="408"/>
      <c r="AU41" s="408"/>
      <c r="AV41" s="408"/>
      <c r="AW41" s="408"/>
      <c r="AX41" s="408"/>
      <c r="AY41" t="s">
        <v>1717</v>
      </c>
      <c r="AZ41" s="408"/>
      <c r="BA41" s="408"/>
      <c r="BB41" t="s">
        <v>1727</v>
      </c>
      <c r="BC41" s="456">
        <v>1</v>
      </c>
      <c r="BD41" s="408"/>
      <c r="BE41" s="487"/>
      <c r="BF41" s="488"/>
      <c r="BG41" s="395"/>
      <c r="BH41" s="486">
        <v>1</v>
      </c>
      <c r="BI41" s="460"/>
      <c r="BJ41" s="460">
        <v>12</v>
      </c>
      <c r="BK41" s="486" t="s">
        <v>309</v>
      </c>
      <c r="BL41" s="411" t="s">
        <v>2664</v>
      </c>
      <c r="BM41" s="486">
        <v>1</v>
      </c>
      <c r="BN41" s="407"/>
      <c r="BO41" s="407"/>
      <c r="BP41" s="407"/>
      <c r="BQ41" s="407" t="s">
        <v>1269</v>
      </c>
      <c r="BR41" s="407"/>
      <c r="BS41" s="419"/>
      <c r="BT41" s="445"/>
      <c r="BU41" s="445"/>
      <c r="BV41" s="445"/>
      <c r="BW41" s="445"/>
      <c r="BX41" s="445"/>
      <c r="BY41" s="445"/>
    </row>
    <row r="42" spans="1:77" ht="15">
      <c r="A42" t="s">
        <v>1269</v>
      </c>
      <c r="B42" s="398" t="s">
        <v>177</v>
      </c>
      <c r="C42" s="399" t="s">
        <v>1682</v>
      </c>
      <c r="D42" s="453">
        <v>0</v>
      </c>
      <c r="E42" s="398" t="s">
        <v>1718</v>
      </c>
      <c r="F42" s="453">
        <v>3</v>
      </c>
      <c r="G42" s="398" t="s">
        <v>1750</v>
      </c>
      <c r="H42" s="453">
        <v>33</v>
      </c>
      <c r="I42" s="371" t="s">
        <v>1660</v>
      </c>
      <c r="J42" s="453">
        <v>1.2</v>
      </c>
      <c r="K42" s="453">
        <v>67</v>
      </c>
      <c r="L42" s="453"/>
      <c r="M42" s="453">
        <v>0</v>
      </c>
      <c r="N42" s="453">
        <v>1</v>
      </c>
      <c r="O42" s="453"/>
      <c r="P42" s="453"/>
      <c r="Q42" s="453"/>
      <c r="R42" s="453">
        <v>0</v>
      </c>
      <c r="S42" s="453">
        <v>0</v>
      </c>
      <c r="T42" s="453">
        <v>17</v>
      </c>
      <c r="U42" s="453"/>
      <c r="V42" s="453">
        <v>0</v>
      </c>
      <c r="W42" s="453">
        <v>1</v>
      </c>
      <c r="X42" s="313">
        <v>0.28000000000000003</v>
      </c>
      <c r="Y42" s="486">
        <v>19</v>
      </c>
      <c r="Z42" s="409">
        <v>18</v>
      </c>
      <c r="AA42" s="410">
        <v>98.028999999999996</v>
      </c>
      <c r="AB42" s="410"/>
      <c r="AC42" s="460">
        <v>2</v>
      </c>
      <c r="AD42" s="408"/>
      <c r="AE42" s="411" t="s">
        <v>1868</v>
      </c>
      <c r="AF42" s="452">
        <v>1</v>
      </c>
      <c r="AG42" s="405">
        <v>43101</v>
      </c>
      <c r="AH42" s="408"/>
      <c r="AI42" s="408"/>
      <c r="AJ42" s="400">
        <v>43109</v>
      </c>
      <c r="AK42" s="408"/>
      <c r="AL42" s="396" t="s">
        <v>1015</v>
      </c>
      <c r="AM42" s="408"/>
      <c r="AN42" s="408"/>
      <c r="AO42" s="456">
        <v>1862.5509999999999</v>
      </c>
      <c r="AP42" s="452">
        <v>556643</v>
      </c>
      <c r="AQ42" s="406">
        <v>43122</v>
      </c>
      <c r="AR42" s="408"/>
      <c r="AS42" s="408"/>
      <c r="AT42" s="408"/>
      <c r="AU42" s="408"/>
      <c r="AV42" s="408"/>
      <c r="AW42" s="408"/>
      <c r="AX42" s="408"/>
      <c r="AY42" t="s">
        <v>1717</v>
      </c>
      <c r="AZ42" s="408"/>
      <c r="BA42" s="408"/>
      <c r="BB42" t="s">
        <v>1727</v>
      </c>
      <c r="BC42" s="456">
        <v>1</v>
      </c>
      <c r="BD42" s="408"/>
      <c r="BE42" s="487"/>
      <c r="BF42" s="488"/>
      <c r="BG42" s="395"/>
      <c r="BH42" s="486">
        <v>1</v>
      </c>
      <c r="BI42" s="460"/>
      <c r="BJ42" s="460">
        <v>13</v>
      </c>
      <c r="BK42" s="486" t="s">
        <v>1869</v>
      </c>
      <c r="BL42" s="411" t="s">
        <v>2665</v>
      </c>
      <c r="BM42" s="486">
        <v>1</v>
      </c>
      <c r="BN42" s="407"/>
      <c r="BO42" s="407"/>
      <c r="BP42" s="407"/>
      <c r="BQ42" s="407" t="s">
        <v>1269</v>
      </c>
      <c r="BR42" s="407"/>
      <c r="BS42" s="419"/>
      <c r="BT42" s="445"/>
      <c r="BU42" s="445"/>
      <c r="BV42" s="445"/>
      <c r="BW42" s="445"/>
      <c r="BX42" s="445"/>
      <c r="BY42" s="445"/>
    </row>
    <row r="43" spans="1:77" ht="15">
      <c r="A43" t="s">
        <v>1269</v>
      </c>
      <c r="B43" s="398" t="s">
        <v>19</v>
      </c>
      <c r="C43" s="399" t="s">
        <v>1682</v>
      </c>
      <c r="D43" s="453">
        <v>0</v>
      </c>
      <c r="E43" s="398" t="s">
        <v>1718</v>
      </c>
      <c r="F43" s="453">
        <v>3</v>
      </c>
      <c r="G43" s="398" t="s">
        <v>1750</v>
      </c>
      <c r="H43" s="453">
        <v>19</v>
      </c>
      <c r="I43" s="371" t="s">
        <v>1632</v>
      </c>
      <c r="J43" s="453">
        <v>0.6</v>
      </c>
      <c r="K43" s="453">
        <v>82</v>
      </c>
      <c r="L43" s="453"/>
      <c r="M43" s="453">
        <v>0</v>
      </c>
      <c r="N43" s="453">
        <v>1</v>
      </c>
      <c r="O43" s="453"/>
      <c r="P43" s="453"/>
      <c r="Q43" s="453"/>
      <c r="R43" s="453">
        <v>0</v>
      </c>
      <c r="S43" s="453">
        <v>0</v>
      </c>
      <c r="T43" s="453">
        <v>19</v>
      </c>
      <c r="U43" s="453"/>
      <c r="V43" s="453">
        <v>0</v>
      </c>
      <c r="W43" s="453">
        <v>0</v>
      </c>
      <c r="X43" s="313">
        <v>0.24</v>
      </c>
      <c r="Y43" s="486">
        <v>20</v>
      </c>
      <c r="Z43" s="409">
        <v>38</v>
      </c>
      <c r="AA43" s="410">
        <v>97.295000000000002</v>
      </c>
      <c r="AB43" s="410"/>
      <c r="AC43" s="460">
        <v>3</v>
      </c>
      <c r="AD43" s="408"/>
      <c r="AE43" s="411" t="s">
        <v>1870</v>
      </c>
      <c r="AF43" s="452">
        <v>1</v>
      </c>
      <c r="AG43" s="405">
        <v>43101</v>
      </c>
      <c r="AH43" s="408"/>
      <c r="AI43" s="408"/>
      <c r="AJ43" s="400">
        <v>43109</v>
      </c>
      <c r="AK43" s="408"/>
      <c r="AL43" s="396" t="s">
        <v>999</v>
      </c>
      <c r="AM43" s="408"/>
      <c r="AN43" s="408"/>
      <c r="AO43" s="456">
        <v>1945.9</v>
      </c>
      <c r="AP43" s="452">
        <v>556644</v>
      </c>
      <c r="AQ43" s="406">
        <v>43122</v>
      </c>
      <c r="AR43" s="408"/>
      <c r="AS43" s="408"/>
      <c r="AT43" s="408"/>
      <c r="AU43" s="408"/>
      <c r="AV43" s="408"/>
      <c r="AW43" s="408"/>
      <c r="AX43" s="408"/>
      <c r="AY43" t="s">
        <v>1720</v>
      </c>
      <c r="AZ43" s="408"/>
      <c r="BA43" s="408"/>
      <c r="BB43" t="s">
        <v>1726</v>
      </c>
      <c r="BC43" s="456">
        <v>1</v>
      </c>
      <c r="BD43" s="408"/>
      <c r="BE43" s="487"/>
      <c r="BF43" s="488"/>
      <c r="BG43" s="395"/>
      <c r="BH43" s="486">
        <v>1</v>
      </c>
      <c r="BI43" s="460"/>
      <c r="BJ43" s="460">
        <v>11</v>
      </c>
      <c r="BK43" s="486" t="s">
        <v>1871</v>
      </c>
      <c r="BL43" s="411" t="s">
        <v>2666</v>
      </c>
      <c r="BM43" s="486">
        <v>1</v>
      </c>
      <c r="BN43" s="407"/>
      <c r="BO43" s="407"/>
      <c r="BP43" s="407"/>
      <c r="BQ43" s="407" t="s">
        <v>1269</v>
      </c>
      <c r="BR43" s="407"/>
      <c r="BS43" s="419"/>
      <c r="BT43" s="445"/>
      <c r="BU43" s="445"/>
      <c r="BV43" s="445"/>
      <c r="BW43" s="445"/>
      <c r="BX43" s="445"/>
      <c r="BY43" s="445"/>
    </row>
    <row r="44" spans="1:77" ht="15">
      <c r="A44" t="s">
        <v>1269</v>
      </c>
      <c r="B44" s="398" t="s">
        <v>19</v>
      </c>
      <c r="C44" s="399" t="s">
        <v>1682</v>
      </c>
      <c r="D44" s="453">
        <v>0</v>
      </c>
      <c r="E44" s="398" t="s">
        <v>1718</v>
      </c>
      <c r="F44" s="453">
        <v>3</v>
      </c>
      <c r="G44" s="398" t="s">
        <v>1750</v>
      </c>
      <c r="H44" s="453">
        <v>19</v>
      </c>
      <c r="I44" s="371" t="s">
        <v>1687</v>
      </c>
      <c r="J44" s="453">
        <v>4.0999999999999996</v>
      </c>
      <c r="K44" s="453">
        <v>464</v>
      </c>
      <c r="L44" s="453"/>
      <c r="M44" s="453">
        <v>0</v>
      </c>
      <c r="N44" s="453">
        <v>0</v>
      </c>
      <c r="O44" s="453"/>
      <c r="P44" s="453"/>
      <c r="Q44" s="453"/>
      <c r="R44" s="453">
        <v>0</v>
      </c>
      <c r="S44" s="453">
        <v>0</v>
      </c>
      <c r="T44" s="453">
        <v>0</v>
      </c>
      <c r="U44" s="453"/>
      <c r="V44" s="453">
        <v>0</v>
      </c>
      <c r="W44" s="453">
        <v>65</v>
      </c>
      <c r="X44" s="313">
        <v>0.14000000000000001</v>
      </c>
      <c r="Y44" s="486">
        <v>65</v>
      </c>
      <c r="Z44" s="409">
        <v>20</v>
      </c>
      <c r="AA44" s="410">
        <v>130.20400000000001</v>
      </c>
      <c r="AB44" s="410"/>
      <c r="AC44" s="460">
        <v>16</v>
      </c>
      <c r="AD44" s="408"/>
      <c r="AE44" s="411" t="s">
        <v>1872</v>
      </c>
      <c r="AF44" s="452">
        <v>1</v>
      </c>
      <c r="AG44" s="405">
        <v>43101</v>
      </c>
      <c r="AH44" s="408"/>
      <c r="AI44" s="408"/>
      <c r="AJ44" s="400">
        <v>43109</v>
      </c>
      <c r="AK44" s="408"/>
      <c r="AL44" s="396" t="s">
        <v>999</v>
      </c>
      <c r="AM44" s="408"/>
      <c r="AN44" s="408"/>
      <c r="AO44" s="456">
        <v>8463.26</v>
      </c>
      <c r="AP44" s="452">
        <v>556644</v>
      </c>
      <c r="AQ44" s="406">
        <v>43122</v>
      </c>
      <c r="AR44" s="408"/>
      <c r="AS44" s="408"/>
      <c r="AT44" s="408"/>
      <c r="AU44" s="408"/>
      <c r="AV44" s="408"/>
      <c r="AW44" s="408"/>
      <c r="AX44" s="408"/>
      <c r="AY44" t="s">
        <v>1720</v>
      </c>
      <c r="AZ44" s="408"/>
      <c r="BA44" s="408"/>
      <c r="BB44" t="s">
        <v>1726</v>
      </c>
      <c r="BC44" s="456">
        <v>1</v>
      </c>
      <c r="BD44" s="408"/>
      <c r="BE44" s="487"/>
      <c r="BF44" s="488"/>
      <c r="BG44" s="395"/>
      <c r="BH44" s="486">
        <v>1</v>
      </c>
      <c r="BI44" s="460"/>
      <c r="BJ44" s="460">
        <v>12</v>
      </c>
      <c r="BK44" s="486" t="s">
        <v>1873</v>
      </c>
      <c r="BL44" s="411" t="s">
        <v>2667</v>
      </c>
      <c r="BM44" s="486">
        <v>1</v>
      </c>
      <c r="BN44" s="407"/>
      <c r="BO44" s="407"/>
      <c r="BP44" s="407"/>
      <c r="BQ44" s="407" t="s">
        <v>1269</v>
      </c>
      <c r="BR44" s="407"/>
      <c r="BS44" s="419"/>
      <c r="BT44" s="445"/>
      <c r="BU44" s="445"/>
      <c r="BV44" s="445"/>
      <c r="BW44" s="445"/>
      <c r="BX44" s="445"/>
      <c r="BY44" s="445"/>
    </row>
    <row r="45" spans="1:77" ht="15">
      <c r="A45" t="s">
        <v>1269</v>
      </c>
      <c r="B45" s="398" t="s">
        <v>19</v>
      </c>
      <c r="C45" s="399" t="s">
        <v>1682</v>
      </c>
      <c r="D45" s="453">
        <v>0</v>
      </c>
      <c r="E45" s="398" t="s">
        <v>1718</v>
      </c>
      <c r="F45" s="453">
        <v>3</v>
      </c>
      <c r="G45" s="398" t="s">
        <v>1750</v>
      </c>
      <c r="H45" s="453">
        <v>56</v>
      </c>
      <c r="I45" s="371" t="s">
        <v>1664</v>
      </c>
      <c r="J45" s="453">
        <v>0.9</v>
      </c>
      <c r="K45" s="453">
        <v>133</v>
      </c>
      <c r="L45" s="453"/>
      <c r="M45" s="453">
        <v>0</v>
      </c>
      <c r="N45" s="453">
        <v>3</v>
      </c>
      <c r="O45" s="453"/>
      <c r="P45" s="453"/>
      <c r="Q45" s="453"/>
      <c r="R45" s="453">
        <v>0</v>
      </c>
      <c r="S45" s="453">
        <v>0</v>
      </c>
      <c r="T45" s="453">
        <v>52</v>
      </c>
      <c r="U45" s="453"/>
      <c r="V45" s="453">
        <v>0</v>
      </c>
      <c r="W45" s="453">
        <v>0</v>
      </c>
      <c r="X45" s="313">
        <v>0.41</v>
      </c>
      <c r="Y45" s="486">
        <v>55</v>
      </c>
      <c r="Z45" s="409">
        <v>67</v>
      </c>
      <c r="AA45" s="410">
        <v>82.936000000000007</v>
      </c>
      <c r="AB45" s="410"/>
      <c r="AC45" s="460">
        <v>5</v>
      </c>
      <c r="AD45" s="408"/>
      <c r="AE45" s="411" t="s">
        <v>1874</v>
      </c>
      <c r="AF45" s="452">
        <v>1</v>
      </c>
      <c r="AG45" s="405">
        <v>43101</v>
      </c>
      <c r="AH45" s="408"/>
      <c r="AI45" s="408"/>
      <c r="AJ45" s="400">
        <v>43109</v>
      </c>
      <c r="AK45" s="408"/>
      <c r="AL45" s="396" t="s">
        <v>1037</v>
      </c>
      <c r="AM45" s="408"/>
      <c r="AN45" s="408"/>
      <c r="AO45" s="456">
        <v>4561.4799999999996</v>
      </c>
      <c r="AP45" s="452">
        <v>556644</v>
      </c>
      <c r="AQ45" s="406">
        <v>43122</v>
      </c>
      <c r="AR45" s="408"/>
      <c r="AS45" s="408"/>
      <c r="AT45" s="408"/>
      <c r="AU45" s="408"/>
      <c r="AV45" s="408"/>
      <c r="AW45" s="408"/>
      <c r="AX45" s="408"/>
      <c r="AY45" t="s">
        <v>1720</v>
      </c>
      <c r="AZ45" s="408"/>
      <c r="BA45" s="408"/>
      <c r="BB45" t="s">
        <v>1726</v>
      </c>
      <c r="BC45" s="456">
        <v>1</v>
      </c>
      <c r="BD45" s="408"/>
      <c r="BE45" s="487"/>
      <c r="BF45" s="488"/>
      <c r="BG45" s="395"/>
      <c r="BH45" s="486">
        <v>1</v>
      </c>
      <c r="BI45" s="460"/>
      <c r="BJ45" s="460">
        <v>13</v>
      </c>
      <c r="BK45" s="486" t="s">
        <v>1875</v>
      </c>
      <c r="BL45" s="411" t="s">
        <v>2668</v>
      </c>
      <c r="BM45" s="486">
        <v>1</v>
      </c>
      <c r="BN45" s="407"/>
      <c r="BO45" s="407"/>
      <c r="BP45" s="407"/>
      <c r="BQ45" s="407" t="s">
        <v>1269</v>
      </c>
      <c r="BR45" s="407"/>
      <c r="BS45" s="419"/>
      <c r="BT45" s="445"/>
      <c r="BU45" s="445"/>
      <c r="BV45" s="445"/>
      <c r="BW45" s="445"/>
      <c r="BX45" s="445"/>
      <c r="BY45" s="445"/>
    </row>
    <row r="46" spans="1:77" ht="15">
      <c r="A46" t="s">
        <v>1269</v>
      </c>
      <c r="B46" s="398" t="s">
        <v>19</v>
      </c>
      <c r="C46" s="399" t="s">
        <v>1682</v>
      </c>
      <c r="D46" s="453">
        <v>0</v>
      </c>
      <c r="E46" s="398" t="s">
        <v>1718</v>
      </c>
      <c r="F46" s="453">
        <v>3</v>
      </c>
      <c r="G46" s="398" t="s">
        <v>1750</v>
      </c>
      <c r="H46" s="453">
        <v>60</v>
      </c>
      <c r="I46" s="371" t="s">
        <v>1683</v>
      </c>
      <c r="J46" s="453">
        <v>2.2999999999999998</v>
      </c>
      <c r="K46" s="453">
        <v>285</v>
      </c>
      <c r="L46" s="453"/>
      <c r="M46" s="453">
        <v>0</v>
      </c>
      <c r="N46" s="453">
        <v>3</v>
      </c>
      <c r="O46" s="453"/>
      <c r="P46" s="453"/>
      <c r="Q46" s="453"/>
      <c r="R46" s="453">
        <v>0</v>
      </c>
      <c r="S46" s="453">
        <v>0</v>
      </c>
      <c r="T46" s="453">
        <v>0</v>
      </c>
      <c r="U46" s="453"/>
      <c r="V46" s="453">
        <v>0</v>
      </c>
      <c r="W46" s="453">
        <v>50</v>
      </c>
      <c r="X46" s="313">
        <v>0.19</v>
      </c>
      <c r="Y46" s="486">
        <v>53</v>
      </c>
      <c r="Z46" s="409">
        <v>28</v>
      </c>
      <c r="AA46" s="410">
        <v>106.111</v>
      </c>
      <c r="AB46" s="410"/>
      <c r="AC46" s="460">
        <v>12</v>
      </c>
      <c r="AD46" s="408"/>
      <c r="AE46" s="411" t="s">
        <v>1876</v>
      </c>
      <c r="AF46" s="452">
        <v>1</v>
      </c>
      <c r="AG46" s="405">
        <v>43101</v>
      </c>
      <c r="AH46" s="408"/>
      <c r="AI46" s="408"/>
      <c r="AJ46" s="400">
        <v>43109</v>
      </c>
      <c r="AK46" s="408"/>
      <c r="AL46" s="396" t="s">
        <v>1037</v>
      </c>
      <c r="AM46" s="408"/>
      <c r="AN46" s="408"/>
      <c r="AO46" s="456">
        <v>5623.8829999999998</v>
      </c>
      <c r="AP46" s="452">
        <v>556644</v>
      </c>
      <c r="AQ46" s="406">
        <v>43122</v>
      </c>
      <c r="AR46" s="408"/>
      <c r="AS46" s="408"/>
      <c r="AT46" s="408"/>
      <c r="AU46" s="408"/>
      <c r="AV46" s="408"/>
      <c r="AW46" s="408"/>
      <c r="AX46" s="408"/>
      <c r="AY46" t="s">
        <v>1720</v>
      </c>
      <c r="AZ46" s="408"/>
      <c r="BA46" s="408"/>
      <c r="BB46" t="s">
        <v>1726</v>
      </c>
      <c r="BC46" s="456">
        <v>1</v>
      </c>
      <c r="BD46" s="408"/>
      <c r="BE46" s="487"/>
      <c r="BF46" s="488"/>
      <c r="BG46" s="395"/>
      <c r="BH46" s="486">
        <v>1</v>
      </c>
      <c r="BI46" s="460"/>
      <c r="BJ46" s="460">
        <v>14</v>
      </c>
      <c r="BK46" s="486" t="s">
        <v>1877</v>
      </c>
      <c r="BL46" s="411" t="s">
        <v>2669</v>
      </c>
      <c r="BM46" s="486">
        <v>1</v>
      </c>
      <c r="BN46" s="407"/>
      <c r="BO46" s="407"/>
      <c r="BP46" s="407"/>
      <c r="BQ46" s="407" t="s">
        <v>1269</v>
      </c>
      <c r="BR46" s="407"/>
      <c r="BS46" s="419"/>
      <c r="BT46" s="445"/>
      <c r="BU46" s="445"/>
      <c r="BV46" s="445"/>
      <c r="BW46" s="445"/>
      <c r="BX46" s="445"/>
      <c r="BY46" s="445"/>
    </row>
    <row r="47" spans="1:77" ht="15">
      <c r="A47" t="s">
        <v>1269</v>
      </c>
      <c r="B47" s="398" t="s">
        <v>19</v>
      </c>
      <c r="C47" s="399" t="s">
        <v>1682</v>
      </c>
      <c r="D47" s="453">
        <v>0</v>
      </c>
      <c r="E47" s="398" t="s">
        <v>1718</v>
      </c>
      <c r="F47" s="453">
        <v>3</v>
      </c>
      <c r="G47" s="398" t="s">
        <v>1750</v>
      </c>
      <c r="H47" s="453">
        <v>73</v>
      </c>
      <c r="I47" s="371" t="s">
        <v>1664</v>
      </c>
      <c r="J47" s="453">
        <v>9.3000000000000007</v>
      </c>
      <c r="K47" s="453">
        <v>471</v>
      </c>
      <c r="L47" s="453"/>
      <c r="M47" s="453">
        <v>0</v>
      </c>
      <c r="N47" s="453">
        <v>9</v>
      </c>
      <c r="O47" s="453"/>
      <c r="P47" s="453"/>
      <c r="Q47" s="453"/>
      <c r="R47" s="453">
        <v>0</v>
      </c>
      <c r="S47" s="453">
        <v>0</v>
      </c>
      <c r="T47" s="453">
        <v>0</v>
      </c>
      <c r="U47" s="453"/>
      <c r="V47" s="453">
        <v>0</v>
      </c>
      <c r="W47" s="453">
        <v>139</v>
      </c>
      <c r="X47" s="313">
        <v>0.31</v>
      </c>
      <c r="Y47" s="486">
        <v>148</v>
      </c>
      <c r="Z47" s="409">
        <v>18</v>
      </c>
      <c r="AA47" s="410">
        <v>91.179000000000002</v>
      </c>
      <c r="AB47" s="410"/>
      <c r="AC47" s="460">
        <v>22</v>
      </c>
      <c r="AD47" s="408"/>
      <c r="AE47" s="411" t="s">
        <v>1878</v>
      </c>
      <c r="AF47" s="452">
        <v>1</v>
      </c>
      <c r="AG47" s="405">
        <v>43101</v>
      </c>
      <c r="AH47" s="408"/>
      <c r="AI47" s="408"/>
      <c r="AJ47" s="400">
        <v>43109</v>
      </c>
      <c r="AK47" s="408"/>
      <c r="AL47" s="396" t="s">
        <v>1001</v>
      </c>
      <c r="AM47" s="408"/>
      <c r="AN47" s="408"/>
      <c r="AO47" s="456">
        <v>13494.492</v>
      </c>
      <c r="AP47" s="452">
        <v>556644</v>
      </c>
      <c r="AQ47" s="406">
        <v>43122</v>
      </c>
      <c r="AR47" s="408"/>
      <c r="AS47" s="408"/>
      <c r="AT47" s="408"/>
      <c r="AU47" s="408"/>
      <c r="AV47" s="408"/>
      <c r="AW47" s="408"/>
      <c r="AX47" s="408"/>
      <c r="AY47" t="s">
        <v>1720</v>
      </c>
      <c r="AZ47" s="408"/>
      <c r="BA47" s="408"/>
      <c r="BB47" t="s">
        <v>1726</v>
      </c>
      <c r="BC47" s="456">
        <v>1</v>
      </c>
      <c r="BD47" s="408"/>
      <c r="BE47" s="487"/>
      <c r="BF47" s="488"/>
      <c r="BG47" s="395"/>
      <c r="BH47" s="486">
        <v>1</v>
      </c>
      <c r="BI47" s="460"/>
      <c r="BJ47" s="460">
        <v>15</v>
      </c>
      <c r="BK47" s="486" t="s">
        <v>64</v>
      </c>
      <c r="BL47" s="411" t="s">
        <v>2670</v>
      </c>
      <c r="BM47" s="486">
        <v>1</v>
      </c>
      <c r="BN47" s="407"/>
      <c r="BO47" s="407"/>
      <c r="BP47" s="407"/>
      <c r="BQ47" s="407" t="s">
        <v>1269</v>
      </c>
      <c r="BR47" s="407"/>
      <c r="BS47" s="419"/>
      <c r="BT47" s="445"/>
      <c r="BU47" s="445"/>
      <c r="BV47" s="445"/>
      <c r="BW47" s="445"/>
      <c r="BX47" s="445"/>
      <c r="BY47" s="445"/>
    </row>
    <row r="48" spans="1:77" ht="15">
      <c r="A48" t="s">
        <v>1269</v>
      </c>
      <c r="B48" s="398" t="s">
        <v>19</v>
      </c>
      <c r="C48" s="399" t="s">
        <v>1682</v>
      </c>
      <c r="D48" s="453">
        <v>0</v>
      </c>
      <c r="E48" s="398" t="s">
        <v>1718</v>
      </c>
      <c r="F48" s="453">
        <v>3</v>
      </c>
      <c r="G48" s="398" t="s">
        <v>1750</v>
      </c>
      <c r="H48" s="453">
        <v>77</v>
      </c>
      <c r="I48" s="371" t="s">
        <v>1659</v>
      </c>
      <c r="J48" s="453">
        <v>6.4</v>
      </c>
      <c r="K48" s="453">
        <v>471</v>
      </c>
      <c r="L48" s="453"/>
      <c r="M48" s="453">
        <v>0</v>
      </c>
      <c r="N48" s="453">
        <v>4</v>
      </c>
      <c r="O48" s="453"/>
      <c r="P48" s="453"/>
      <c r="Q48" s="453"/>
      <c r="R48" s="453">
        <v>0</v>
      </c>
      <c r="S48" s="453">
        <v>0</v>
      </c>
      <c r="T48" s="453">
        <v>0</v>
      </c>
      <c r="U48" s="453"/>
      <c r="V48" s="453">
        <v>0</v>
      </c>
      <c r="W48" s="453">
        <v>92</v>
      </c>
      <c r="X48" s="313">
        <v>0.2</v>
      </c>
      <c r="Y48" s="486">
        <v>96</v>
      </c>
      <c r="Z48" s="409">
        <v>18</v>
      </c>
      <c r="AA48" s="410">
        <v>107.80800000000001</v>
      </c>
      <c r="AB48" s="410"/>
      <c r="AC48" s="460">
        <v>22</v>
      </c>
      <c r="AD48" s="408"/>
      <c r="AE48" s="411" t="s">
        <v>1879</v>
      </c>
      <c r="AF48" s="452">
        <v>1</v>
      </c>
      <c r="AG48" s="405">
        <v>43101</v>
      </c>
      <c r="AH48" s="408"/>
      <c r="AI48" s="408"/>
      <c r="AJ48" s="400">
        <v>43109</v>
      </c>
      <c r="AK48" s="408"/>
      <c r="AL48" s="396" t="s">
        <v>1001</v>
      </c>
      <c r="AM48" s="408"/>
      <c r="AN48" s="408"/>
      <c r="AO48" s="456">
        <v>10349.567999999999</v>
      </c>
      <c r="AP48" s="452">
        <v>556644</v>
      </c>
      <c r="AQ48" s="406">
        <v>43122</v>
      </c>
      <c r="AR48" s="408"/>
      <c r="AS48" s="408"/>
      <c r="AT48" s="408"/>
      <c r="AU48" s="408"/>
      <c r="AV48" s="408"/>
      <c r="AW48" s="408"/>
      <c r="AX48" s="408"/>
      <c r="AY48" t="s">
        <v>1720</v>
      </c>
      <c r="AZ48" s="408"/>
      <c r="BA48" s="408"/>
      <c r="BB48" t="s">
        <v>1726</v>
      </c>
      <c r="BC48" s="456">
        <v>1</v>
      </c>
      <c r="BD48" s="408"/>
      <c r="BE48" s="487"/>
      <c r="BF48" s="488"/>
      <c r="BG48" s="395"/>
      <c r="BH48" s="486">
        <v>1</v>
      </c>
      <c r="BI48" s="460"/>
      <c r="BJ48" s="460">
        <v>16</v>
      </c>
      <c r="BK48" s="486" t="s">
        <v>1880</v>
      </c>
      <c r="BL48" s="411" t="s">
        <v>2671</v>
      </c>
      <c r="BM48" s="486">
        <v>1</v>
      </c>
      <c r="BN48" s="407"/>
      <c r="BO48" s="407"/>
      <c r="BP48" s="407"/>
      <c r="BQ48" s="407" t="s">
        <v>1269</v>
      </c>
      <c r="BR48" s="407"/>
      <c r="BS48" s="419"/>
      <c r="BT48" s="445"/>
      <c r="BU48" s="445"/>
      <c r="BV48" s="445"/>
      <c r="BW48" s="445"/>
      <c r="BX48" s="445"/>
      <c r="BY48" s="445"/>
    </row>
    <row r="49" spans="1:77" ht="15">
      <c r="A49" t="s">
        <v>1269</v>
      </c>
      <c r="B49" s="398" t="s">
        <v>19</v>
      </c>
      <c r="C49" s="399" t="s">
        <v>1682</v>
      </c>
      <c r="D49" s="453">
        <v>0</v>
      </c>
      <c r="E49" s="398" t="s">
        <v>1718</v>
      </c>
      <c r="F49" s="453">
        <v>3</v>
      </c>
      <c r="G49" s="398" t="s">
        <v>1750</v>
      </c>
      <c r="H49" s="453">
        <v>78</v>
      </c>
      <c r="I49" s="371" t="s">
        <v>1685</v>
      </c>
      <c r="J49" s="453">
        <v>1.5</v>
      </c>
      <c r="K49" s="453">
        <v>81</v>
      </c>
      <c r="L49" s="453"/>
      <c r="M49" s="453">
        <v>0</v>
      </c>
      <c r="N49" s="453">
        <v>0</v>
      </c>
      <c r="O49" s="453"/>
      <c r="P49" s="453"/>
      <c r="Q49" s="453"/>
      <c r="R49" s="453">
        <v>0</v>
      </c>
      <c r="S49" s="453">
        <v>0</v>
      </c>
      <c r="T49" s="453">
        <v>0</v>
      </c>
      <c r="U49" s="453"/>
      <c r="V49" s="453">
        <v>0</v>
      </c>
      <c r="W49" s="453">
        <v>9</v>
      </c>
      <c r="X49" s="313">
        <v>0.11</v>
      </c>
      <c r="Y49" s="486">
        <v>9</v>
      </c>
      <c r="Z49" s="409">
        <v>7</v>
      </c>
      <c r="AA49" s="410">
        <v>163.12299999999999</v>
      </c>
      <c r="AB49" s="410"/>
      <c r="AC49" s="460">
        <v>1</v>
      </c>
      <c r="AD49" s="408"/>
      <c r="AE49" s="411" t="s">
        <v>1881</v>
      </c>
      <c r="AF49" s="452">
        <v>1</v>
      </c>
      <c r="AG49" s="405">
        <v>43101</v>
      </c>
      <c r="AH49" s="408"/>
      <c r="AI49" s="408"/>
      <c r="AJ49" s="400">
        <v>43109</v>
      </c>
      <c r="AK49" s="408"/>
      <c r="AL49" s="396" t="s">
        <v>1001</v>
      </c>
      <c r="AM49" s="408"/>
      <c r="AN49" s="408"/>
      <c r="AO49" s="456">
        <v>1468.107</v>
      </c>
      <c r="AP49" s="452">
        <v>556644</v>
      </c>
      <c r="AQ49" s="406">
        <v>43122</v>
      </c>
      <c r="AR49" s="408"/>
      <c r="AS49" s="408"/>
      <c r="AT49" s="408"/>
      <c r="AU49" s="408"/>
      <c r="AV49" s="408"/>
      <c r="AW49" s="408"/>
      <c r="AX49" s="408"/>
      <c r="AY49" t="s">
        <v>1720</v>
      </c>
      <c r="AZ49" s="408"/>
      <c r="BA49" s="408"/>
      <c r="BB49" t="s">
        <v>1726</v>
      </c>
      <c r="BC49" s="456">
        <v>1</v>
      </c>
      <c r="BD49" s="408"/>
      <c r="BE49" s="487"/>
      <c r="BF49" s="488"/>
      <c r="BG49" s="395"/>
      <c r="BH49" s="486">
        <v>1</v>
      </c>
      <c r="BI49" s="460"/>
      <c r="BJ49" s="460">
        <v>17</v>
      </c>
      <c r="BK49" s="486" t="s">
        <v>1882</v>
      </c>
      <c r="BL49" s="411" t="s">
        <v>2672</v>
      </c>
      <c r="BM49" s="486">
        <v>1</v>
      </c>
      <c r="BN49" s="407"/>
      <c r="BO49" s="407"/>
      <c r="BP49" s="407"/>
      <c r="BQ49" s="407" t="s">
        <v>1269</v>
      </c>
      <c r="BR49" s="407"/>
      <c r="BS49" s="419"/>
      <c r="BT49" s="445"/>
      <c r="BU49" s="445"/>
      <c r="BV49" s="445"/>
      <c r="BW49" s="445"/>
      <c r="BX49" s="445"/>
      <c r="BY49" s="445"/>
    </row>
    <row r="50" spans="1:77" ht="15">
      <c r="A50" t="s">
        <v>1269</v>
      </c>
      <c r="B50" s="398" t="s">
        <v>19</v>
      </c>
      <c r="C50" s="399" t="s">
        <v>1682</v>
      </c>
      <c r="D50" s="453">
        <v>0</v>
      </c>
      <c r="E50" s="398" t="s">
        <v>1718</v>
      </c>
      <c r="F50" s="453">
        <v>3</v>
      </c>
      <c r="G50" s="398" t="s">
        <v>1750</v>
      </c>
      <c r="H50" s="453">
        <v>86</v>
      </c>
      <c r="I50" s="371" t="s">
        <v>1694</v>
      </c>
      <c r="J50" s="453">
        <v>6</v>
      </c>
      <c r="K50" s="453">
        <v>284</v>
      </c>
      <c r="L50" s="453"/>
      <c r="M50" s="453">
        <v>0</v>
      </c>
      <c r="N50" s="453">
        <v>3</v>
      </c>
      <c r="O50" s="453"/>
      <c r="P50" s="453"/>
      <c r="Q50" s="453"/>
      <c r="R50" s="453">
        <v>0</v>
      </c>
      <c r="S50" s="453">
        <v>0</v>
      </c>
      <c r="T50" s="453">
        <v>0</v>
      </c>
      <c r="U50" s="453"/>
      <c r="V50" s="453">
        <v>0</v>
      </c>
      <c r="W50" s="453">
        <v>99</v>
      </c>
      <c r="X50" s="313">
        <v>0.36</v>
      </c>
      <c r="Y50" s="486">
        <v>102</v>
      </c>
      <c r="Z50" s="409">
        <v>19</v>
      </c>
      <c r="AA50" s="410">
        <v>88.076999999999998</v>
      </c>
      <c r="AB50" s="410"/>
      <c r="AC50" s="460">
        <v>11</v>
      </c>
      <c r="AD50" s="408"/>
      <c r="AE50" s="411" t="s">
        <v>1883</v>
      </c>
      <c r="AF50" s="452">
        <v>1</v>
      </c>
      <c r="AG50" s="405">
        <v>43101</v>
      </c>
      <c r="AH50" s="408"/>
      <c r="AI50" s="408"/>
      <c r="AJ50" s="400">
        <v>43109</v>
      </c>
      <c r="AK50" s="408"/>
      <c r="AL50" s="396" t="s">
        <v>912</v>
      </c>
      <c r="AM50" s="408"/>
      <c r="AN50" s="408"/>
      <c r="AO50" s="456">
        <v>8983.8539999999994</v>
      </c>
      <c r="AP50" s="452">
        <v>556644</v>
      </c>
      <c r="AQ50" s="406">
        <v>43122</v>
      </c>
      <c r="AR50" s="408"/>
      <c r="AS50" s="408"/>
      <c r="AT50" s="408"/>
      <c r="AU50" s="408"/>
      <c r="AV50" s="408"/>
      <c r="AW50" s="408"/>
      <c r="AX50" s="408"/>
      <c r="AY50" t="s">
        <v>1720</v>
      </c>
      <c r="AZ50" s="408"/>
      <c r="BA50" s="408"/>
      <c r="BB50" t="s">
        <v>1726</v>
      </c>
      <c r="BC50" s="456">
        <v>1</v>
      </c>
      <c r="BD50" s="408"/>
      <c r="BE50" s="487"/>
      <c r="BF50" s="488"/>
      <c r="BG50" s="395"/>
      <c r="BH50" s="486">
        <v>1</v>
      </c>
      <c r="BI50" s="460"/>
      <c r="BJ50" s="460">
        <v>18</v>
      </c>
      <c r="BK50" s="486" t="s">
        <v>1884</v>
      </c>
      <c r="BL50" s="411" t="s">
        <v>2673</v>
      </c>
      <c r="BM50" s="486">
        <v>1</v>
      </c>
      <c r="BN50" s="407"/>
      <c r="BO50" s="407"/>
      <c r="BP50" s="407"/>
      <c r="BQ50" s="407" t="s">
        <v>1269</v>
      </c>
      <c r="BR50" s="407"/>
      <c r="BS50" s="419"/>
      <c r="BT50" s="445"/>
      <c r="BU50" s="445"/>
      <c r="BV50" s="445"/>
      <c r="BW50" s="445"/>
      <c r="BX50" s="445"/>
      <c r="BY50" s="445"/>
    </row>
    <row r="51" spans="1:77" ht="15">
      <c r="A51" t="s">
        <v>1269</v>
      </c>
      <c r="B51" s="398" t="s">
        <v>19</v>
      </c>
      <c r="C51" s="399" t="s">
        <v>1682</v>
      </c>
      <c r="D51" s="453">
        <v>0</v>
      </c>
      <c r="E51" s="398" t="s">
        <v>1718</v>
      </c>
      <c r="F51" s="453">
        <v>3</v>
      </c>
      <c r="G51" s="398" t="s">
        <v>1750</v>
      </c>
      <c r="H51" s="453">
        <v>109</v>
      </c>
      <c r="I51" s="371" t="s">
        <v>1683</v>
      </c>
      <c r="J51" s="453">
        <v>4</v>
      </c>
      <c r="K51" s="453">
        <v>219</v>
      </c>
      <c r="L51" s="453"/>
      <c r="M51" s="453">
        <v>0</v>
      </c>
      <c r="N51" s="453">
        <v>5</v>
      </c>
      <c r="O51" s="453"/>
      <c r="P51" s="453"/>
      <c r="Q51" s="453"/>
      <c r="R51" s="453">
        <v>0</v>
      </c>
      <c r="S51" s="453">
        <v>0</v>
      </c>
      <c r="T51" s="453">
        <v>0</v>
      </c>
      <c r="U51" s="453"/>
      <c r="V51" s="453">
        <v>0</v>
      </c>
      <c r="W51" s="453">
        <v>66</v>
      </c>
      <c r="X51" s="313">
        <v>0.32</v>
      </c>
      <c r="Y51" s="486">
        <v>71</v>
      </c>
      <c r="Z51" s="409">
        <v>22</v>
      </c>
      <c r="AA51" s="410">
        <v>90.855000000000004</v>
      </c>
      <c r="AB51" s="410"/>
      <c r="AC51" s="460">
        <v>18</v>
      </c>
      <c r="AD51" s="408"/>
      <c r="AE51" s="411" t="s">
        <v>1885</v>
      </c>
      <c r="AF51" s="452">
        <v>1</v>
      </c>
      <c r="AG51" s="405">
        <v>43101</v>
      </c>
      <c r="AH51" s="408"/>
      <c r="AI51" s="408"/>
      <c r="AJ51" s="400">
        <v>43109</v>
      </c>
      <c r="AK51" s="408"/>
      <c r="AL51" s="396" t="s">
        <v>917</v>
      </c>
      <c r="AM51" s="408"/>
      <c r="AN51" s="408"/>
      <c r="AO51" s="456">
        <v>6450.7049999999999</v>
      </c>
      <c r="AP51" s="452">
        <v>556644</v>
      </c>
      <c r="AQ51" s="406">
        <v>43122</v>
      </c>
      <c r="AR51" s="408"/>
      <c r="AS51" s="408"/>
      <c r="AT51" s="408"/>
      <c r="AU51" s="408"/>
      <c r="AV51" s="408"/>
      <c r="AW51" s="408"/>
      <c r="AX51" s="408"/>
      <c r="AY51" t="s">
        <v>1720</v>
      </c>
      <c r="AZ51" s="408"/>
      <c r="BA51" s="408"/>
      <c r="BB51" t="s">
        <v>1726</v>
      </c>
      <c r="BC51" s="456">
        <v>1</v>
      </c>
      <c r="BD51" s="408"/>
      <c r="BE51" s="487"/>
      <c r="BF51" s="488"/>
      <c r="BG51" s="395"/>
      <c r="BH51" s="486">
        <v>1</v>
      </c>
      <c r="BI51" s="460"/>
      <c r="BJ51" s="460">
        <v>19</v>
      </c>
      <c r="BK51" s="486" t="s">
        <v>1886</v>
      </c>
      <c r="BL51" s="411" t="s">
        <v>2674</v>
      </c>
      <c r="BM51" s="486">
        <v>1</v>
      </c>
      <c r="BN51" s="407"/>
      <c r="BO51" s="407"/>
      <c r="BP51" s="407"/>
      <c r="BQ51" s="407" t="s">
        <v>1269</v>
      </c>
      <c r="BR51" s="407"/>
      <c r="BS51" s="419"/>
      <c r="BT51" s="445"/>
      <c r="BU51" s="445"/>
      <c r="BV51" s="445"/>
      <c r="BW51" s="445"/>
      <c r="BX51" s="445"/>
      <c r="BY51" s="445"/>
    </row>
    <row r="52" spans="1:77" ht="15">
      <c r="A52" t="s">
        <v>1269</v>
      </c>
      <c r="B52" s="398" t="s">
        <v>296</v>
      </c>
      <c r="C52" s="399" t="s">
        <v>1682</v>
      </c>
      <c r="D52" s="453">
        <v>0</v>
      </c>
      <c r="E52" s="398" t="s">
        <v>1718</v>
      </c>
      <c r="F52" s="453">
        <v>3</v>
      </c>
      <c r="G52" s="398" t="s">
        <v>1750</v>
      </c>
      <c r="H52" s="453">
        <v>83</v>
      </c>
      <c r="I52" s="371" t="s">
        <v>1683</v>
      </c>
      <c r="J52" s="453">
        <v>10.3</v>
      </c>
      <c r="K52" s="453">
        <v>203</v>
      </c>
      <c r="L52" s="453"/>
      <c r="M52" s="453">
        <v>0</v>
      </c>
      <c r="N52" s="453">
        <v>35</v>
      </c>
      <c r="O52" s="453"/>
      <c r="P52" s="453"/>
      <c r="Q52" s="453"/>
      <c r="R52" s="453">
        <v>0</v>
      </c>
      <c r="S52" s="453">
        <v>0</v>
      </c>
      <c r="T52" s="453">
        <v>0</v>
      </c>
      <c r="U52" s="453">
        <v>53</v>
      </c>
      <c r="V52" s="453">
        <v>3</v>
      </c>
      <c r="W52" s="453">
        <v>119</v>
      </c>
      <c r="X52" s="313">
        <v>1.03</v>
      </c>
      <c r="Y52" s="486">
        <v>210</v>
      </c>
      <c r="Z52" s="409">
        <v>22</v>
      </c>
      <c r="AA52" s="410">
        <v>66.444999999999993</v>
      </c>
      <c r="AB52" s="410"/>
      <c r="AC52" s="460">
        <v>16</v>
      </c>
      <c r="AD52" s="408"/>
      <c r="AE52" s="411" t="s">
        <v>1887</v>
      </c>
      <c r="AF52" s="452">
        <v>1</v>
      </c>
      <c r="AG52" s="405">
        <v>43101</v>
      </c>
      <c r="AH52" s="408"/>
      <c r="AI52" s="408"/>
      <c r="AJ52" s="400">
        <v>43109</v>
      </c>
      <c r="AK52" s="408"/>
      <c r="AL52" s="396" t="s">
        <v>918</v>
      </c>
      <c r="AM52" s="408"/>
      <c r="AN52" s="408"/>
      <c r="AO52" s="456">
        <v>13953.45</v>
      </c>
      <c r="AP52" s="452">
        <v>556611</v>
      </c>
      <c r="AQ52" s="406">
        <v>43062</v>
      </c>
      <c r="AR52" s="408"/>
      <c r="AS52" s="408"/>
      <c r="AT52" s="408"/>
      <c r="AU52" s="408"/>
      <c r="AV52" s="408"/>
      <c r="AW52" s="408"/>
      <c r="AX52" s="408"/>
      <c r="AY52" t="s">
        <v>1722</v>
      </c>
      <c r="AZ52" s="408"/>
      <c r="BA52" s="408"/>
      <c r="BB52" t="s">
        <v>1728</v>
      </c>
      <c r="BC52" s="456">
        <v>11</v>
      </c>
      <c r="BD52" s="408"/>
      <c r="BE52" s="487"/>
      <c r="BF52" s="488"/>
      <c r="BG52" s="395"/>
      <c r="BH52" s="486">
        <v>1</v>
      </c>
      <c r="BI52" s="460"/>
      <c r="BJ52" s="460">
        <v>11</v>
      </c>
      <c r="BK52" s="486" t="s">
        <v>67</v>
      </c>
      <c r="BL52" s="411" t="s">
        <v>2675</v>
      </c>
      <c r="BM52" s="486">
        <v>1</v>
      </c>
      <c r="BN52" s="407"/>
      <c r="BO52" s="407"/>
      <c r="BP52" s="407"/>
      <c r="BQ52" s="407" t="s">
        <v>1269</v>
      </c>
      <c r="BR52" s="407"/>
      <c r="BS52" s="419"/>
      <c r="BT52" s="445"/>
      <c r="BU52" s="445"/>
      <c r="BV52" s="445"/>
      <c r="BW52" s="445"/>
      <c r="BX52" s="445"/>
      <c r="BY52" s="445"/>
    </row>
    <row r="53" spans="1:77" ht="15">
      <c r="A53" t="s">
        <v>1269</v>
      </c>
      <c r="B53" s="398" t="s">
        <v>296</v>
      </c>
      <c r="C53" s="399" t="s">
        <v>1682</v>
      </c>
      <c r="D53" s="453">
        <v>0</v>
      </c>
      <c r="E53" s="398" t="s">
        <v>1718</v>
      </c>
      <c r="F53" s="453">
        <v>3</v>
      </c>
      <c r="G53" s="398" t="s">
        <v>1750</v>
      </c>
      <c r="H53" s="453">
        <v>120</v>
      </c>
      <c r="I53" s="371" t="s">
        <v>1683</v>
      </c>
      <c r="J53" s="453">
        <v>16</v>
      </c>
      <c r="K53" s="453">
        <v>607</v>
      </c>
      <c r="L53" s="453"/>
      <c r="M53" s="453">
        <v>0</v>
      </c>
      <c r="N53" s="453">
        <v>24</v>
      </c>
      <c r="O53" s="453"/>
      <c r="P53" s="453"/>
      <c r="Q53" s="453"/>
      <c r="R53" s="453">
        <v>0</v>
      </c>
      <c r="S53" s="453">
        <v>0</v>
      </c>
      <c r="T53" s="453">
        <v>0</v>
      </c>
      <c r="U53" s="453">
        <v>60</v>
      </c>
      <c r="V53" s="453">
        <v>16</v>
      </c>
      <c r="W53" s="453">
        <v>340</v>
      </c>
      <c r="X53" s="313">
        <v>0.72</v>
      </c>
      <c r="Y53" s="486">
        <v>440</v>
      </c>
      <c r="Z53" s="409">
        <v>29</v>
      </c>
      <c r="AA53" s="410">
        <v>72.340999999999994</v>
      </c>
      <c r="AB53" s="410"/>
      <c r="AC53" s="460">
        <v>31</v>
      </c>
      <c r="AD53" s="408"/>
      <c r="AE53" s="411" t="s">
        <v>1888</v>
      </c>
      <c r="AF53" s="452">
        <v>1</v>
      </c>
      <c r="AG53" s="405">
        <v>43101</v>
      </c>
      <c r="AH53" s="408"/>
      <c r="AI53" s="408"/>
      <c r="AJ53" s="400">
        <v>43109</v>
      </c>
      <c r="AK53" s="408"/>
      <c r="AL53" s="396" t="s">
        <v>918</v>
      </c>
      <c r="AM53" s="408"/>
      <c r="AN53" s="408"/>
      <c r="AO53" s="456">
        <v>31830.04</v>
      </c>
      <c r="AP53" s="452">
        <v>556611</v>
      </c>
      <c r="AQ53" s="406">
        <v>43062</v>
      </c>
      <c r="AR53" s="408"/>
      <c r="AS53" s="408"/>
      <c r="AT53" s="408"/>
      <c r="AU53" s="408"/>
      <c r="AV53" s="408"/>
      <c r="AW53" s="408"/>
      <c r="AX53" s="408"/>
      <c r="AY53" t="s">
        <v>1722</v>
      </c>
      <c r="AZ53" s="408"/>
      <c r="BA53" s="408"/>
      <c r="BB53" t="s">
        <v>1728</v>
      </c>
      <c r="BC53" s="456">
        <v>11</v>
      </c>
      <c r="BD53" s="408"/>
      <c r="BE53" s="487"/>
      <c r="BF53" s="488"/>
      <c r="BG53" s="395"/>
      <c r="BH53" s="486">
        <v>1</v>
      </c>
      <c r="BI53" s="460"/>
      <c r="BJ53" s="460">
        <v>12</v>
      </c>
      <c r="BK53" s="486" t="s">
        <v>1889</v>
      </c>
      <c r="BL53" s="411" t="s">
        <v>2676</v>
      </c>
      <c r="BM53" s="486">
        <v>1</v>
      </c>
      <c r="BN53" s="407"/>
      <c r="BO53" s="407"/>
      <c r="BP53" s="407"/>
      <c r="BQ53" s="407" t="s">
        <v>1269</v>
      </c>
      <c r="BR53" s="407"/>
      <c r="BS53" s="419"/>
      <c r="BT53" s="445"/>
      <c r="BU53" s="445"/>
      <c r="BV53" s="445"/>
      <c r="BW53" s="445"/>
      <c r="BX53" s="445"/>
      <c r="BY53" s="445"/>
    </row>
    <row r="54" spans="1:77" ht="15">
      <c r="A54" t="s">
        <v>31</v>
      </c>
      <c r="B54" s="398" t="s">
        <v>216</v>
      </c>
      <c r="C54" s="399" t="s">
        <v>31</v>
      </c>
      <c r="D54" s="453">
        <v>0</v>
      </c>
      <c r="E54" s="398" t="s">
        <v>1716</v>
      </c>
      <c r="F54" s="453">
        <v>2</v>
      </c>
      <c r="G54" s="398" t="s">
        <v>1661</v>
      </c>
      <c r="H54" s="453">
        <v>86</v>
      </c>
      <c r="I54" s="371" t="s">
        <v>1423</v>
      </c>
      <c r="J54" s="453">
        <v>1</v>
      </c>
      <c r="K54" s="453">
        <v>484</v>
      </c>
      <c r="L54" s="453">
        <v>0</v>
      </c>
      <c r="M54" s="453">
        <v>115</v>
      </c>
      <c r="N54" s="453">
        <v>39</v>
      </c>
      <c r="O54" s="453">
        <v>0</v>
      </c>
      <c r="P54" s="453">
        <v>0</v>
      </c>
      <c r="Q54" s="453">
        <v>0</v>
      </c>
      <c r="R54" s="453">
        <v>12</v>
      </c>
      <c r="S54" s="453">
        <v>21</v>
      </c>
      <c r="T54" s="453">
        <v>32</v>
      </c>
      <c r="U54" s="453">
        <v>4</v>
      </c>
      <c r="V54" s="453">
        <v>14</v>
      </c>
      <c r="W54" s="453">
        <v>24</v>
      </c>
      <c r="X54" s="313">
        <v>0.54</v>
      </c>
      <c r="Y54" s="486">
        <v>261</v>
      </c>
      <c r="Z54" s="409">
        <v>286</v>
      </c>
      <c r="AA54" s="410">
        <v>71.944999999999993</v>
      </c>
      <c r="AB54" s="410">
        <v>38.070999999999998</v>
      </c>
      <c r="AC54" s="460">
        <v>25</v>
      </c>
      <c r="AD54" s="408"/>
      <c r="AE54" s="411" t="s">
        <v>1890</v>
      </c>
      <c r="AF54" s="452">
        <v>1</v>
      </c>
      <c r="AG54" s="405">
        <v>43101</v>
      </c>
      <c r="AH54" s="408"/>
      <c r="AI54" s="408"/>
      <c r="AJ54" s="400">
        <v>43109</v>
      </c>
      <c r="AK54" s="408"/>
      <c r="AL54" s="396" t="s">
        <v>929</v>
      </c>
      <c r="AM54" s="408"/>
      <c r="AN54" s="408"/>
      <c r="AO54" s="456">
        <v>18777.645</v>
      </c>
      <c r="AP54" s="452">
        <v>556618</v>
      </c>
      <c r="AQ54" s="406" t="s">
        <v>1719</v>
      </c>
      <c r="AR54" s="408"/>
      <c r="AS54" s="408"/>
      <c r="AT54" s="408"/>
      <c r="AU54" s="408"/>
      <c r="AV54" s="408"/>
      <c r="AW54" s="408"/>
      <c r="AX54" s="408"/>
      <c r="AY54" t="s">
        <v>1720</v>
      </c>
      <c r="AZ54" s="408"/>
      <c r="BA54" s="408"/>
      <c r="BB54" t="s">
        <v>1726</v>
      </c>
      <c r="BC54" s="456">
        <v>12</v>
      </c>
      <c r="BD54" s="408"/>
      <c r="BE54" s="487">
        <v>5</v>
      </c>
      <c r="BF54" s="488">
        <v>40</v>
      </c>
      <c r="BG54" s="395" t="s">
        <v>1764</v>
      </c>
      <c r="BH54" s="486">
        <v>1.1000000000000001</v>
      </c>
      <c r="BI54" s="460"/>
      <c r="BJ54" s="460">
        <v>3</v>
      </c>
      <c r="BK54" s="486" t="s">
        <v>1891</v>
      </c>
      <c r="BL54" s="411" t="s">
        <v>2677</v>
      </c>
      <c r="BM54" s="486">
        <v>1</v>
      </c>
      <c r="BN54" s="407" t="s">
        <v>1765</v>
      </c>
      <c r="BO54" s="407" t="s">
        <v>1765</v>
      </c>
      <c r="BP54" s="407" t="s">
        <v>1765</v>
      </c>
      <c r="BQ54" s="407" t="s">
        <v>31</v>
      </c>
      <c r="BR54" s="407"/>
      <c r="BS54" s="419"/>
      <c r="BT54" s="445"/>
      <c r="BU54" s="445"/>
      <c r="BV54" s="445"/>
      <c r="BW54" s="445" t="s">
        <v>1964</v>
      </c>
      <c r="BX54" s="445"/>
      <c r="BY54" s="445"/>
    </row>
    <row r="55" spans="1:77" ht="15">
      <c r="A55" t="s">
        <v>31</v>
      </c>
      <c r="B55" s="398" t="s">
        <v>19</v>
      </c>
      <c r="C55" s="399" t="s">
        <v>31</v>
      </c>
      <c r="D55" s="453">
        <v>0</v>
      </c>
      <c r="E55" s="398" t="s">
        <v>1716</v>
      </c>
      <c r="F55" s="453">
        <v>2</v>
      </c>
      <c r="G55" s="398" t="s">
        <v>1661</v>
      </c>
      <c r="H55" s="453">
        <v>20</v>
      </c>
      <c r="I55" s="371" t="s">
        <v>1664</v>
      </c>
      <c r="J55" s="453">
        <v>2.8</v>
      </c>
      <c r="K55" s="453">
        <v>1040</v>
      </c>
      <c r="L55" s="453">
        <v>0</v>
      </c>
      <c r="M55" s="453">
        <v>6</v>
      </c>
      <c r="N55" s="453">
        <v>169</v>
      </c>
      <c r="O55" s="453">
        <v>0</v>
      </c>
      <c r="P55" s="453">
        <v>0</v>
      </c>
      <c r="Q55" s="453">
        <v>28</v>
      </c>
      <c r="R55" s="453">
        <v>62</v>
      </c>
      <c r="S55" s="453">
        <v>50</v>
      </c>
      <c r="T55" s="453">
        <v>426</v>
      </c>
      <c r="U55" s="453">
        <v>5</v>
      </c>
      <c r="V55" s="453">
        <v>12</v>
      </c>
      <c r="W55" s="453">
        <v>25</v>
      </c>
      <c r="X55" s="313">
        <v>0.75</v>
      </c>
      <c r="Y55" s="486">
        <v>783</v>
      </c>
      <c r="Z55" s="409">
        <v>300</v>
      </c>
      <c r="AA55" s="410">
        <v>59.284999999999997</v>
      </c>
      <c r="AB55" s="410">
        <v>35.494</v>
      </c>
      <c r="AC55" s="460">
        <v>57</v>
      </c>
      <c r="AD55" s="408"/>
      <c r="AE55" s="411" t="s">
        <v>1892</v>
      </c>
      <c r="AF55" s="452">
        <v>1</v>
      </c>
      <c r="AG55" s="405">
        <v>43101</v>
      </c>
      <c r="AH55" s="408"/>
      <c r="AI55" s="408"/>
      <c r="AJ55" s="400">
        <v>43122</v>
      </c>
      <c r="AK55" s="408"/>
      <c r="AL55" s="396" t="s">
        <v>927</v>
      </c>
      <c r="AM55" s="408"/>
      <c r="AN55" s="408"/>
      <c r="AO55" s="456">
        <v>46420.154999999999</v>
      </c>
      <c r="AP55" s="452">
        <v>556618</v>
      </c>
      <c r="AQ55" s="406" t="s">
        <v>1719</v>
      </c>
      <c r="AR55" s="408"/>
      <c r="AS55" s="408"/>
      <c r="AT55" s="408"/>
      <c r="AU55" s="408"/>
      <c r="AV55" s="408"/>
      <c r="AW55" s="408"/>
      <c r="AX55" s="408"/>
      <c r="AY55" t="s">
        <v>1720</v>
      </c>
      <c r="AZ55" s="408"/>
      <c r="BA55" s="408"/>
      <c r="BB55" t="s">
        <v>1726</v>
      </c>
      <c r="BC55" s="456">
        <v>12</v>
      </c>
      <c r="BD55" s="408"/>
      <c r="BE55" s="487">
        <v>5</v>
      </c>
      <c r="BF55" s="488">
        <v>40</v>
      </c>
      <c r="BG55" s="395" t="s">
        <v>1764</v>
      </c>
      <c r="BH55" s="486">
        <v>1.1000000000000001</v>
      </c>
      <c r="BI55" s="460"/>
      <c r="BJ55" s="460">
        <v>8</v>
      </c>
      <c r="BK55" s="486" t="s">
        <v>1893</v>
      </c>
      <c r="BL55" s="411" t="s">
        <v>2678</v>
      </c>
      <c r="BM55" s="486">
        <v>1</v>
      </c>
      <c r="BN55" s="407" t="s">
        <v>1765</v>
      </c>
      <c r="BO55" s="407" t="s">
        <v>1765</v>
      </c>
      <c r="BP55" s="407" t="s">
        <v>1765</v>
      </c>
      <c r="BQ55" s="407" t="s">
        <v>31</v>
      </c>
      <c r="BR55" s="407"/>
      <c r="BS55" s="419"/>
      <c r="BT55" s="445"/>
      <c r="BU55" s="445"/>
      <c r="BV55" s="445"/>
      <c r="BW55" s="445"/>
      <c r="BX55" s="445"/>
      <c r="BY55" s="445"/>
    </row>
    <row r="56" spans="1:77" ht="15">
      <c r="A56" t="s">
        <v>31</v>
      </c>
      <c r="B56" s="398" t="s">
        <v>216</v>
      </c>
      <c r="C56" s="399" t="s">
        <v>31</v>
      </c>
      <c r="D56" s="453">
        <v>0</v>
      </c>
      <c r="E56" s="398" t="s">
        <v>1716</v>
      </c>
      <c r="F56" s="453">
        <v>2</v>
      </c>
      <c r="G56" s="398" t="s">
        <v>1661</v>
      </c>
      <c r="H56" s="453">
        <v>20</v>
      </c>
      <c r="I56" s="371" t="s">
        <v>1423</v>
      </c>
      <c r="J56" s="453">
        <v>1.6</v>
      </c>
      <c r="K56" s="453">
        <v>627</v>
      </c>
      <c r="L56" s="453">
        <v>0</v>
      </c>
      <c r="M56" s="453">
        <v>18</v>
      </c>
      <c r="N56" s="453">
        <v>174</v>
      </c>
      <c r="O56" s="453">
        <v>0</v>
      </c>
      <c r="P56" s="453">
        <v>0</v>
      </c>
      <c r="Q56" s="453">
        <v>14</v>
      </c>
      <c r="R56" s="453">
        <v>20</v>
      </c>
      <c r="S56" s="453">
        <v>25</v>
      </c>
      <c r="T56" s="453">
        <v>99</v>
      </c>
      <c r="U56" s="453">
        <v>6</v>
      </c>
      <c r="V56" s="453">
        <v>21</v>
      </c>
      <c r="W56" s="453">
        <v>68</v>
      </c>
      <c r="X56" s="313">
        <v>0.71</v>
      </c>
      <c r="Y56" s="486">
        <v>445</v>
      </c>
      <c r="Z56" s="409">
        <v>278</v>
      </c>
      <c r="AA56" s="410">
        <v>75.989999999999995</v>
      </c>
      <c r="AB56" s="410">
        <v>35.905000000000001</v>
      </c>
      <c r="AC56" s="460">
        <v>0</v>
      </c>
      <c r="AD56" s="408"/>
      <c r="AE56" s="411" t="s">
        <v>1894</v>
      </c>
      <c r="AF56" s="452">
        <v>1</v>
      </c>
      <c r="AG56" s="405">
        <v>43101</v>
      </c>
      <c r="AH56" s="408"/>
      <c r="AI56" s="408"/>
      <c r="AJ56" s="400">
        <v>43109</v>
      </c>
      <c r="AK56" s="408"/>
      <c r="AL56" s="396" t="s">
        <v>929</v>
      </c>
      <c r="AM56" s="408"/>
      <c r="AN56" s="408"/>
      <c r="AO56" s="456">
        <v>33815.550000000003</v>
      </c>
      <c r="AP56" s="452">
        <v>556618</v>
      </c>
      <c r="AQ56" s="406" t="s">
        <v>1719</v>
      </c>
      <c r="AR56" s="408"/>
      <c r="AS56" s="408"/>
      <c r="AT56" s="408"/>
      <c r="AU56" s="408"/>
      <c r="AV56" s="408"/>
      <c r="AW56" s="408"/>
      <c r="AX56" s="408"/>
      <c r="AY56" t="s">
        <v>1720</v>
      </c>
      <c r="AZ56" s="408"/>
      <c r="BA56" s="408"/>
      <c r="BB56" t="s">
        <v>1726</v>
      </c>
      <c r="BC56" s="456">
        <v>12</v>
      </c>
      <c r="BD56" s="408"/>
      <c r="BE56" s="487">
        <v>5</v>
      </c>
      <c r="BF56" s="488">
        <v>40</v>
      </c>
      <c r="BG56" s="395" t="s">
        <v>1764</v>
      </c>
      <c r="BH56" s="486">
        <v>1.1000000000000001</v>
      </c>
      <c r="BI56" s="460"/>
      <c r="BJ56" s="460">
        <v>4</v>
      </c>
      <c r="BK56" s="486" t="s">
        <v>1895</v>
      </c>
      <c r="BL56" s="411" t="s">
        <v>2679</v>
      </c>
      <c r="BM56" s="486">
        <v>1</v>
      </c>
      <c r="BN56" s="407" t="s">
        <v>1765</v>
      </c>
      <c r="BO56" s="407" t="s">
        <v>1765</v>
      </c>
      <c r="BP56" s="407" t="s">
        <v>1765</v>
      </c>
      <c r="BQ56" s="407" t="s">
        <v>31</v>
      </c>
      <c r="BR56" s="407"/>
      <c r="BS56" s="419"/>
      <c r="BT56" s="445"/>
      <c r="BU56" s="445"/>
      <c r="BV56" s="445"/>
      <c r="BW56" s="445"/>
      <c r="BX56" s="445"/>
      <c r="BY56" s="445"/>
    </row>
    <row r="57" spans="1:77" ht="15">
      <c r="A57" t="s">
        <v>31</v>
      </c>
      <c r="B57" s="398" t="s">
        <v>19</v>
      </c>
      <c r="C57" s="399" t="s">
        <v>31</v>
      </c>
      <c r="D57" s="453">
        <v>0</v>
      </c>
      <c r="E57" s="398" t="s">
        <v>1716</v>
      </c>
      <c r="F57" s="453">
        <v>5</v>
      </c>
      <c r="G57" s="398" t="s">
        <v>1661</v>
      </c>
      <c r="H57" s="453">
        <v>121</v>
      </c>
      <c r="I57" s="371" t="s">
        <v>1660</v>
      </c>
      <c r="J57" s="453">
        <v>0.8</v>
      </c>
      <c r="K57" s="453">
        <v>674</v>
      </c>
      <c r="L57" s="453">
        <v>0</v>
      </c>
      <c r="M57" s="453">
        <v>0</v>
      </c>
      <c r="N57" s="453">
        <v>1</v>
      </c>
      <c r="O57" s="453">
        <v>0</v>
      </c>
      <c r="P57" s="453">
        <v>0</v>
      </c>
      <c r="Q57" s="453">
        <v>0</v>
      </c>
      <c r="R57" s="453">
        <v>0</v>
      </c>
      <c r="S57" s="453">
        <v>0</v>
      </c>
      <c r="T57" s="453">
        <v>61</v>
      </c>
      <c r="U57" s="453">
        <v>0</v>
      </c>
      <c r="V57" s="453">
        <v>0</v>
      </c>
      <c r="W57" s="453">
        <v>98</v>
      </c>
      <c r="X57" s="313">
        <v>0.24</v>
      </c>
      <c r="Y57" s="486">
        <v>160</v>
      </c>
      <c r="Z57" s="409">
        <v>200</v>
      </c>
      <c r="AA57" s="410">
        <v>150.00200000000001</v>
      </c>
      <c r="AB57" s="410">
        <v>48.604999999999997</v>
      </c>
      <c r="AC57" s="460">
        <v>0</v>
      </c>
      <c r="AD57" s="408"/>
      <c r="AE57" s="411" t="s">
        <v>1896</v>
      </c>
      <c r="AF57" s="452">
        <v>1</v>
      </c>
      <c r="AG57" s="405">
        <v>43101</v>
      </c>
      <c r="AH57" s="408"/>
      <c r="AI57" s="408"/>
      <c r="AJ57" s="400">
        <v>43109</v>
      </c>
      <c r="AK57" s="408"/>
      <c r="AL57" s="396" t="s">
        <v>1006</v>
      </c>
      <c r="AM57" s="408"/>
      <c r="AN57" s="408"/>
      <c r="AO57" s="456">
        <v>24000.32</v>
      </c>
      <c r="AP57" s="452">
        <v>556618</v>
      </c>
      <c r="AQ57" s="406" t="s">
        <v>1719</v>
      </c>
      <c r="AR57" s="408"/>
      <c r="AS57" s="408"/>
      <c r="AT57" s="408"/>
      <c r="AU57" s="408"/>
      <c r="AV57" s="408"/>
      <c r="AW57" s="408"/>
      <c r="AX57" s="408"/>
      <c r="AY57" t="s">
        <v>1720</v>
      </c>
      <c r="AZ57" s="408"/>
      <c r="BA57" s="408"/>
      <c r="BB57" t="s">
        <v>1726</v>
      </c>
      <c r="BC57" s="456">
        <v>12</v>
      </c>
      <c r="BD57" s="408"/>
      <c r="BE57" s="487">
        <v>5</v>
      </c>
      <c r="BF57" s="488">
        <v>40</v>
      </c>
      <c r="BG57" s="395" t="s">
        <v>1764</v>
      </c>
      <c r="BH57" s="486">
        <v>0.8</v>
      </c>
      <c r="BI57" s="460"/>
      <c r="BJ57" s="460">
        <v>9</v>
      </c>
      <c r="BK57" s="486" t="s">
        <v>1897</v>
      </c>
      <c r="BL57" s="411" t="s">
        <v>2680</v>
      </c>
      <c r="BM57" s="486">
        <v>1</v>
      </c>
      <c r="BN57" s="407" t="s">
        <v>1766</v>
      </c>
      <c r="BO57" s="407" t="s">
        <v>1766</v>
      </c>
      <c r="BP57" s="407" t="s">
        <v>1766</v>
      </c>
      <c r="BQ57" s="407" t="s">
        <v>31</v>
      </c>
      <c r="BR57" s="407"/>
      <c r="BS57" s="419"/>
      <c r="BT57" s="445"/>
      <c r="BU57" s="445"/>
      <c r="BV57" s="445"/>
      <c r="BW57" s="445"/>
      <c r="BX57" s="445"/>
      <c r="BY57" s="445"/>
    </row>
    <row r="58" spans="1:77" ht="15">
      <c r="A58" t="s">
        <v>1269</v>
      </c>
      <c r="B58" s="398" t="s">
        <v>216</v>
      </c>
      <c r="C58" s="399" t="s">
        <v>1767</v>
      </c>
      <c r="D58" s="453">
        <v>0</v>
      </c>
      <c r="E58" s="398" t="s">
        <v>1749</v>
      </c>
      <c r="F58" s="453">
        <v>3</v>
      </c>
      <c r="G58" s="398" t="s">
        <v>1750</v>
      </c>
      <c r="H58" s="453">
        <v>65</v>
      </c>
      <c r="I58" s="371" t="s">
        <v>1428</v>
      </c>
      <c r="J58" s="453">
        <v>0.8</v>
      </c>
      <c r="K58" s="453">
        <v>100</v>
      </c>
      <c r="L58" s="453"/>
      <c r="M58" s="453">
        <v>42</v>
      </c>
      <c r="N58" s="453">
        <v>0</v>
      </c>
      <c r="O58" s="453"/>
      <c r="P58" s="453"/>
      <c r="Q58" s="453"/>
      <c r="R58" s="453"/>
      <c r="S58" s="453">
        <v>0</v>
      </c>
      <c r="T58" s="453">
        <v>0</v>
      </c>
      <c r="U58" s="453"/>
      <c r="V58" s="453">
        <v>38</v>
      </c>
      <c r="W58" s="453">
        <v>0</v>
      </c>
      <c r="X58" s="313">
        <v>0.8</v>
      </c>
      <c r="Y58" s="486">
        <v>80</v>
      </c>
      <c r="Z58" s="409">
        <v>113</v>
      </c>
      <c r="AA58" s="410">
        <v>46.527999999999999</v>
      </c>
      <c r="AB58" s="410"/>
      <c r="AC58" s="460">
        <v>10</v>
      </c>
      <c r="AD58" s="408"/>
      <c r="AE58" s="411" t="s">
        <v>1898</v>
      </c>
      <c r="AF58" s="452">
        <v>1</v>
      </c>
      <c r="AG58" s="405">
        <v>43101</v>
      </c>
      <c r="AH58" s="408"/>
      <c r="AI58" s="408"/>
      <c r="AJ58" s="400">
        <v>43124</v>
      </c>
      <c r="AK58" s="408"/>
      <c r="AL58" s="396" t="s">
        <v>914</v>
      </c>
      <c r="AM58" s="408"/>
      <c r="AN58" s="408"/>
      <c r="AO58" s="456">
        <v>3722.24</v>
      </c>
      <c r="AP58" s="452">
        <v>556648</v>
      </c>
      <c r="AQ58" s="406">
        <v>43124</v>
      </c>
      <c r="AR58" s="408"/>
      <c r="AS58" s="408"/>
      <c r="AT58" s="408"/>
      <c r="AU58" s="408"/>
      <c r="AV58" s="408"/>
      <c r="AW58" s="408"/>
      <c r="AX58" s="408"/>
      <c r="AY58" t="s">
        <v>1720</v>
      </c>
      <c r="AZ58" s="408"/>
      <c r="BA58" s="408"/>
      <c r="BB58" t="s">
        <v>1726</v>
      </c>
      <c r="BC58" s="456">
        <v>1</v>
      </c>
      <c r="BD58" s="408"/>
      <c r="BE58" s="487"/>
      <c r="BF58" s="488"/>
      <c r="BG58" s="395"/>
      <c r="BH58" s="486">
        <v>1</v>
      </c>
      <c r="BI58" s="460"/>
      <c r="BJ58" s="460">
        <v>27</v>
      </c>
      <c r="BK58" s="486" t="s">
        <v>1899</v>
      </c>
      <c r="BL58" s="411" t="s">
        <v>2681</v>
      </c>
      <c r="BM58" s="486">
        <v>1</v>
      </c>
      <c r="BN58" s="407"/>
      <c r="BO58" s="407"/>
      <c r="BP58" s="407"/>
      <c r="BQ58" s="407" t="s">
        <v>1269</v>
      </c>
      <c r="BR58" s="407"/>
      <c r="BS58" s="419"/>
      <c r="BT58" s="445"/>
      <c r="BU58" s="445"/>
      <c r="BV58" s="445"/>
      <c r="BW58" s="445"/>
      <c r="BX58" s="445"/>
      <c r="BY58" s="445"/>
    </row>
    <row r="59" spans="1:77" ht="15">
      <c r="A59" t="s">
        <v>1269</v>
      </c>
      <c r="B59" s="398" t="s">
        <v>216</v>
      </c>
      <c r="C59" s="399" t="s">
        <v>1767</v>
      </c>
      <c r="D59" s="453">
        <v>0</v>
      </c>
      <c r="E59" s="398" t="s">
        <v>1749</v>
      </c>
      <c r="F59" s="453">
        <v>3</v>
      </c>
      <c r="G59" s="398" t="s">
        <v>1750</v>
      </c>
      <c r="H59" s="453">
        <v>65</v>
      </c>
      <c r="I59" s="371" t="s">
        <v>1664</v>
      </c>
      <c r="J59" s="453">
        <v>0.5</v>
      </c>
      <c r="K59" s="453">
        <v>54</v>
      </c>
      <c r="L59" s="453"/>
      <c r="M59" s="453">
        <v>21</v>
      </c>
      <c r="N59" s="453">
        <v>0</v>
      </c>
      <c r="O59" s="453"/>
      <c r="P59" s="453"/>
      <c r="Q59" s="453"/>
      <c r="R59" s="453"/>
      <c r="S59" s="453">
        <v>0</v>
      </c>
      <c r="T59" s="453">
        <v>0</v>
      </c>
      <c r="U59" s="453"/>
      <c r="V59" s="453">
        <v>17</v>
      </c>
      <c r="W59" s="453">
        <v>0</v>
      </c>
      <c r="X59" s="313">
        <v>0.7</v>
      </c>
      <c r="Y59" s="486">
        <v>38</v>
      </c>
      <c r="Z59" s="409">
        <v>86</v>
      </c>
      <c r="AA59" s="410">
        <v>47.741</v>
      </c>
      <c r="AB59" s="410"/>
      <c r="AC59" s="460">
        <v>5</v>
      </c>
      <c r="AD59" s="408"/>
      <c r="AE59" s="411" t="s">
        <v>1900</v>
      </c>
      <c r="AF59" s="452">
        <v>1</v>
      </c>
      <c r="AG59" s="405">
        <v>43101</v>
      </c>
      <c r="AH59" s="408"/>
      <c r="AI59" s="408"/>
      <c r="AJ59" s="400">
        <v>43124</v>
      </c>
      <c r="AK59" s="408"/>
      <c r="AL59" s="396" t="s">
        <v>914</v>
      </c>
      <c r="AM59" s="408"/>
      <c r="AN59" s="408"/>
      <c r="AO59" s="456">
        <v>1814.1579999999999</v>
      </c>
      <c r="AP59" s="452">
        <v>556648</v>
      </c>
      <c r="AQ59" s="406">
        <v>43124</v>
      </c>
      <c r="AR59" s="408"/>
      <c r="AS59" s="408"/>
      <c r="AT59" s="408"/>
      <c r="AU59" s="408"/>
      <c r="AV59" s="408"/>
      <c r="AW59" s="408"/>
      <c r="AX59" s="408"/>
      <c r="AY59" t="s">
        <v>1720</v>
      </c>
      <c r="AZ59" s="408"/>
      <c r="BA59" s="408"/>
      <c r="BB59" t="s">
        <v>1726</v>
      </c>
      <c r="BC59" s="456">
        <v>1</v>
      </c>
      <c r="BD59" s="408"/>
      <c r="BE59" s="487"/>
      <c r="BF59" s="488"/>
      <c r="BG59" s="395"/>
      <c r="BH59" s="486">
        <v>1</v>
      </c>
      <c r="BI59" s="460"/>
      <c r="BJ59" s="460">
        <v>28</v>
      </c>
      <c r="BK59" s="486" t="s">
        <v>200</v>
      </c>
      <c r="BL59" s="411" t="s">
        <v>2682</v>
      </c>
      <c r="BM59" s="486">
        <v>1</v>
      </c>
      <c r="BN59" s="407"/>
      <c r="BO59" s="407"/>
      <c r="BP59" s="407"/>
      <c r="BQ59" s="407" t="s">
        <v>1269</v>
      </c>
      <c r="BR59" s="407"/>
      <c r="BS59" s="419"/>
      <c r="BT59" s="445"/>
      <c r="BU59" s="445"/>
      <c r="BV59" s="445"/>
      <c r="BW59" s="445"/>
      <c r="BX59" s="445"/>
      <c r="BY59" s="445"/>
    </row>
    <row r="60" spans="1:77" ht="15">
      <c r="A60" t="s">
        <v>1269</v>
      </c>
      <c r="B60" s="398" t="s">
        <v>216</v>
      </c>
      <c r="C60" s="399" t="s">
        <v>1767</v>
      </c>
      <c r="D60" s="453">
        <v>0</v>
      </c>
      <c r="E60" s="398" t="s">
        <v>1749</v>
      </c>
      <c r="F60" s="453">
        <v>3</v>
      </c>
      <c r="G60" s="398" t="s">
        <v>1750</v>
      </c>
      <c r="H60" s="453">
        <v>65</v>
      </c>
      <c r="I60" s="371" t="s">
        <v>1660</v>
      </c>
      <c r="J60" s="453">
        <v>0.4</v>
      </c>
      <c r="K60" s="453">
        <v>37</v>
      </c>
      <c r="L60" s="453"/>
      <c r="M60" s="453">
        <v>19</v>
      </c>
      <c r="N60" s="453">
        <v>0</v>
      </c>
      <c r="O60" s="453"/>
      <c r="P60" s="453"/>
      <c r="Q60" s="453"/>
      <c r="R60" s="453"/>
      <c r="S60" s="453">
        <v>0</v>
      </c>
      <c r="T60" s="453">
        <v>0</v>
      </c>
      <c r="U60" s="453"/>
      <c r="V60" s="453">
        <v>14</v>
      </c>
      <c r="W60" s="453">
        <v>0</v>
      </c>
      <c r="X60" s="313">
        <v>0.89</v>
      </c>
      <c r="Y60" s="486">
        <v>33</v>
      </c>
      <c r="Z60" s="409">
        <v>93</v>
      </c>
      <c r="AA60" s="410">
        <v>44.552</v>
      </c>
      <c r="AB60" s="410"/>
      <c r="AC60" s="460">
        <v>4</v>
      </c>
      <c r="AD60" s="408"/>
      <c r="AE60" s="411" t="s">
        <v>1901</v>
      </c>
      <c r="AF60" s="452">
        <v>1</v>
      </c>
      <c r="AG60" s="405">
        <v>43101</v>
      </c>
      <c r="AH60" s="408"/>
      <c r="AI60" s="408"/>
      <c r="AJ60" s="400">
        <v>43124</v>
      </c>
      <c r="AK60" s="408"/>
      <c r="AL60" s="396" t="s">
        <v>914</v>
      </c>
      <c r="AM60" s="408"/>
      <c r="AN60" s="408"/>
      <c r="AO60" s="456">
        <v>1470.2159999999999</v>
      </c>
      <c r="AP60" s="452">
        <v>556648</v>
      </c>
      <c r="AQ60" s="406">
        <v>43124</v>
      </c>
      <c r="AR60" s="408"/>
      <c r="AS60" s="408"/>
      <c r="AT60" s="408"/>
      <c r="AU60" s="408"/>
      <c r="AV60" s="408"/>
      <c r="AW60" s="408"/>
      <c r="AX60" s="408"/>
      <c r="AY60" t="s">
        <v>1720</v>
      </c>
      <c r="AZ60" s="408"/>
      <c r="BA60" s="408"/>
      <c r="BB60" t="s">
        <v>1726</v>
      </c>
      <c r="BC60" s="456">
        <v>1</v>
      </c>
      <c r="BD60" s="408"/>
      <c r="BE60" s="487"/>
      <c r="BF60" s="488"/>
      <c r="BG60" s="395"/>
      <c r="BH60" s="486">
        <v>1</v>
      </c>
      <c r="BI60" s="460"/>
      <c r="BJ60" s="460">
        <v>29</v>
      </c>
      <c r="BK60" s="486" t="s">
        <v>1902</v>
      </c>
      <c r="BL60" s="411" t="s">
        <v>2683</v>
      </c>
      <c r="BM60" s="486">
        <v>1</v>
      </c>
      <c r="BN60" s="407"/>
      <c r="BO60" s="407"/>
      <c r="BP60" s="407"/>
      <c r="BQ60" s="407" t="s">
        <v>1269</v>
      </c>
      <c r="BR60" s="407"/>
      <c r="BS60" s="419"/>
      <c r="BT60" s="445"/>
      <c r="BU60" s="445"/>
      <c r="BV60" s="445"/>
      <c r="BW60" s="445"/>
      <c r="BX60" s="445"/>
      <c r="BY60" s="445"/>
    </row>
    <row r="61" spans="1:77" ht="15">
      <c r="A61" t="s">
        <v>1269</v>
      </c>
      <c r="B61" s="398" t="s">
        <v>216</v>
      </c>
      <c r="C61" s="399" t="s">
        <v>1767</v>
      </c>
      <c r="D61" s="453">
        <v>0</v>
      </c>
      <c r="E61" s="398" t="s">
        <v>1749</v>
      </c>
      <c r="F61" s="453">
        <v>3</v>
      </c>
      <c r="G61" s="398" t="s">
        <v>1750</v>
      </c>
      <c r="H61" s="453">
        <v>65</v>
      </c>
      <c r="I61" s="371" t="s">
        <v>1687</v>
      </c>
      <c r="J61" s="453">
        <v>0.6</v>
      </c>
      <c r="K61" s="453">
        <v>40</v>
      </c>
      <c r="L61" s="453"/>
      <c r="M61" s="453">
        <v>13</v>
      </c>
      <c r="N61" s="453">
        <v>0</v>
      </c>
      <c r="O61" s="453"/>
      <c r="P61" s="453"/>
      <c r="Q61" s="453"/>
      <c r="R61" s="453"/>
      <c r="S61" s="453">
        <v>0</v>
      </c>
      <c r="T61" s="453">
        <v>0</v>
      </c>
      <c r="U61" s="453"/>
      <c r="V61" s="453">
        <v>17</v>
      </c>
      <c r="W61" s="453">
        <v>0</v>
      </c>
      <c r="X61" s="313">
        <v>0.75</v>
      </c>
      <c r="Y61" s="486">
        <v>30</v>
      </c>
      <c r="Z61" s="409">
        <v>55</v>
      </c>
      <c r="AA61" s="410">
        <v>52.372</v>
      </c>
      <c r="AB61" s="410"/>
      <c r="AC61" s="460">
        <v>3</v>
      </c>
      <c r="AD61" s="408"/>
      <c r="AE61" s="411" t="s">
        <v>1903</v>
      </c>
      <c r="AF61" s="452">
        <v>1</v>
      </c>
      <c r="AG61" s="405">
        <v>43101</v>
      </c>
      <c r="AH61" s="408"/>
      <c r="AI61" s="408"/>
      <c r="AJ61" s="400">
        <v>43124</v>
      </c>
      <c r="AK61" s="408"/>
      <c r="AL61" s="396" t="s">
        <v>914</v>
      </c>
      <c r="AM61" s="408"/>
      <c r="AN61" s="408"/>
      <c r="AO61" s="456">
        <v>1571.16</v>
      </c>
      <c r="AP61" s="452">
        <v>556648</v>
      </c>
      <c r="AQ61" s="406">
        <v>43124</v>
      </c>
      <c r="AR61" s="408"/>
      <c r="AS61" s="408"/>
      <c r="AT61" s="408"/>
      <c r="AU61" s="408"/>
      <c r="AV61" s="408"/>
      <c r="AW61" s="408"/>
      <c r="AX61" s="408"/>
      <c r="AY61" t="s">
        <v>1720</v>
      </c>
      <c r="AZ61" s="408"/>
      <c r="BA61" s="408"/>
      <c r="BB61" t="s">
        <v>1726</v>
      </c>
      <c r="BC61" s="456">
        <v>1</v>
      </c>
      <c r="BD61" s="408"/>
      <c r="BE61" s="487"/>
      <c r="BF61" s="488"/>
      <c r="BG61" s="395"/>
      <c r="BH61" s="486">
        <v>1</v>
      </c>
      <c r="BI61" s="460"/>
      <c r="BJ61" s="460">
        <v>30</v>
      </c>
      <c r="BK61" s="486" t="s">
        <v>1904</v>
      </c>
      <c r="BL61" s="411" t="s">
        <v>2684</v>
      </c>
      <c r="BM61" s="486">
        <v>1</v>
      </c>
      <c r="BN61" s="407"/>
      <c r="BO61" s="407"/>
      <c r="BP61" s="407"/>
      <c r="BQ61" s="407" t="s">
        <v>1269</v>
      </c>
      <c r="BR61" s="407"/>
      <c r="BS61" s="419"/>
      <c r="BT61" s="445"/>
      <c r="BU61" s="445"/>
      <c r="BV61" s="445"/>
      <c r="BW61" s="445"/>
      <c r="BX61" s="445"/>
      <c r="BY61" s="445"/>
    </row>
    <row r="62" spans="1:77" ht="15">
      <c r="A62" t="s">
        <v>1269</v>
      </c>
      <c r="B62" s="398" t="s">
        <v>216</v>
      </c>
      <c r="C62" s="399" t="s">
        <v>1767</v>
      </c>
      <c r="D62" s="453">
        <v>0</v>
      </c>
      <c r="E62" s="398" t="s">
        <v>1749</v>
      </c>
      <c r="F62" s="453">
        <v>3</v>
      </c>
      <c r="G62" s="398" t="s">
        <v>1750</v>
      </c>
      <c r="H62" s="453">
        <v>65</v>
      </c>
      <c r="I62" s="371" t="s">
        <v>1768</v>
      </c>
      <c r="J62" s="453">
        <v>0.3</v>
      </c>
      <c r="K62" s="453">
        <v>8</v>
      </c>
      <c r="L62" s="453"/>
      <c r="M62" s="453">
        <v>3</v>
      </c>
      <c r="N62" s="453">
        <v>0</v>
      </c>
      <c r="O62" s="453"/>
      <c r="P62" s="453"/>
      <c r="Q62" s="453"/>
      <c r="R62" s="453"/>
      <c r="S62" s="453">
        <v>0</v>
      </c>
      <c r="T62" s="453">
        <v>0</v>
      </c>
      <c r="U62" s="453"/>
      <c r="V62" s="453">
        <v>3</v>
      </c>
      <c r="W62" s="453">
        <v>0</v>
      </c>
      <c r="X62" s="313">
        <v>0.75</v>
      </c>
      <c r="Y62" s="486">
        <v>6</v>
      </c>
      <c r="Z62" s="409">
        <v>20</v>
      </c>
      <c r="AA62" s="410">
        <v>52.860999999999997</v>
      </c>
      <c r="AB62" s="410"/>
      <c r="AC62" s="460">
        <v>0</v>
      </c>
      <c r="AD62" s="408"/>
      <c r="AE62" s="411" t="s">
        <v>1905</v>
      </c>
      <c r="AF62" s="452">
        <v>1</v>
      </c>
      <c r="AG62" s="405">
        <v>43101</v>
      </c>
      <c r="AH62" s="408"/>
      <c r="AI62" s="408"/>
      <c r="AJ62" s="400">
        <v>43124</v>
      </c>
      <c r="AK62" s="408"/>
      <c r="AL62" s="396" t="s">
        <v>914</v>
      </c>
      <c r="AM62" s="408"/>
      <c r="AN62" s="408"/>
      <c r="AO62" s="456">
        <v>317.166</v>
      </c>
      <c r="AP62" s="452">
        <v>556648</v>
      </c>
      <c r="AQ62" s="406">
        <v>43124</v>
      </c>
      <c r="AR62" s="408"/>
      <c r="AS62" s="408"/>
      <c r="AT62" s="408"/>
      <c r="AU62" s="408"/>
      <c r="AV62" s="408"/>
      <c r="AW62" s="408"/>
      <c r="AX62" s="408"/>
      <c r="AY62" t="s">
        <v>1720</v>
      </c>
      <c r="AZ62" s="408"/>
      <c r="BA62" s="408"/>
      <c r="BB62" t="s">
        <v>1726</v>
      </c>
      <c r="BC62" s="456">
        <v>1</v>
      </c>
      <c r="BD62" s="408"/>
      <c r="BE62" s="487"/>
      <c r="BF62" s="488"/>
      <c r="BG62" s="395"/>
      <c r="BH62" s="486">
        <v>1</v>
      </c>
      <c r="BI62" s="460"/>
      <c r="BJ62" s="460">
        <v>31</v>
      </c>
      <c r="BK62" s="486" t="s">
        <v>1906</v>
      </c>
      <c r="BL62" s="411" t="s">
        <v>2685</v>
      </c>
      <c r="BM62" s="486">
        <v>1</v>
      </c>
      <c r="BN62" s="407"/>
      <c r="BO62" s="407"/>
      <c r="BP62" s="407"/>
      <c r="BQ62" s="407" t="s">
        <v>1269</v>
      </c>
      <c r="BR62" s="407"/>
      <c r="BS62" s="419"/>
      <c r="BT62" s="445"/>
      <c r="BU62" s="445"/>
      <c r="BV62" s="445"/>
      <c r="BW62" s="445"/>
      <c r="BX62" s="445"/>
      <c r="BY62" s="445"/>
    </row>
    <row r="63" spans="1:77" ht="15">
      <c r="A63" t="s">
        <v>1269</v>
      </c>
      <c r="B63" s="398" t="s">
        <v>216</v>
      </c>
      <c r="C63" s="399" t="s">
        <v>1767</v>
      </c>
      <c r="D63" s="453">
        <v>0</v>
      </c>
      <c r="E63" s="398" t="s">
        <v>1749</v>
      </c>
      <c r="F63" s="453">
        <v>3</v>
      </c>
      <c r="G63" s="398" t="s">
        <v>1750</v>
      </c>
      <c r="H63" s="453">
        <v>65</v>
      </c>
      <c r="I63" s="371" t="s">
        <v>1659</v>
      </c>
      <c r="J63" s="453">
        <v>0.1</v>
      </c>
      <c r="K63" s="453">
        <v>18</v>
      </c>
      <c r="L63" s="453"/>
      <c r="M63" s="453">
        <v>0</v>
      </c>
      <c r="N63" s="453">
        <v>0</v>
      </c>
      <c r="O63" s="453"/>
      <c r="P63" s="453"/>
      <c r="Q63" s="453"/>
      <c r="R63" s="453"/>
      <c r="S63" s="453">
        <v>0</v>
      </c>
      <c r="T63" s="453">
        <v>0</v>
      </c>
      <c r="U63" s="453"/>
      <c r="V63" s="453">
        <v>8</v>
      </c>
      <c r="W63" s="453">
        <v>0</v>
      </c>
      <c r="X63" s="313">
        <v>0.44</v>
      </c>
      <c r="Y63" s="486">
        <v>8</v>
      </c>
      <c r="Z63" s="409">
        <v>90</v>
      </c>
      <c r="AA63" s="410">
        <v>128.501</v>
      </c>
      <c r="AB63" s="410"/>
      <c r="AC63" s="460">
        <v>1</v>
      </c>
      <c r="AD63" s="408"/>
      <c r="AE63" s="411" t="s">
        <v>1907</v>
      </c>
      <c r="AF63" s="452">
        <v>1</v>
      </c>
      <c r="AG63" s="405">
        <v>43101</v>
      </c>
      <c r="AH63" s="408"/>
      <c r="AI63" s="408"/>
      <c r="AJ63" s="400">
        <v>43124</v>
      </c>
      <c r="AK63" s="408"/>
      <c r="AL63" s="396" t="s">
        <v>914</v>
      </c>
      <c r="AM63" s="408"/>
      <c r="AN63" s="408"/>
      <c r="AO63" s="456">
        <v>1028.008</v>
      </c>
      <c r="AP63" s="452">
        <v>556648</v>
      </c>
      <c r="AQ63" s="406">
        <v>43124</v>
      </c>
      <c r="AR63" s="408"/>
      <c r="AS63" s="408"/>
      <c r="AT63" s="408"/>
      <c r="AU63" s="408"/>
      <c r="AV63" s="408"/>
      <c r="AW63" s="408"/>
      <c r="AX63" s="408"/>
      <c r="AY63" t="s">
        <v>1720</v>
      </c>
      <c r="AZ63" s="408"/>
      <c r="BA63" s="408"/>
      <c r="BB63" t="s">
        <v>1726</v>
      </c>
      <c r="BC63" s="456">
        <v>1</v>
      </c>
      <c r="BD63" s="408"/>
      <c r="BE63" s="487"/>
      <c r="BF63" s="488"/>
      <c r="BG63" s="395"/>
      <c r="BH63" s="486">
        <v>1</v>
      </c>
      <c r="BI63" s="460"/>
      <c r="BJ63" s="460">
        <v>32</v>
      </c>
      <c r="BK63" s="486" t="s">
        <v>1908</v>
      </c>
      <c r="BL63" s="411" t="s">
        <v>2686</v>
      </c>
      <c r="BM63" s="486">
        <v>1</v>
      </c>
      <c r="BN63" s="407"/>
      <c r="BO63" s="407"/>
      <c r="BP63" s="407"/>
      <c r="BQ63" s="407" t="s">
        <v>1269</v>
      </c>
      <c r="BR63" s="407"/>
      <c r="BS63" s="419"/>
      <c r="BT63" s="445"/>
      <c r="BU63" s="445"/>
      <c r="BV63" s="445"/>
      <c r="BW63" s="445"/>
      <c r="BX63" s="445"/>
      <c r="BY63" s="445"/>
    </row>
    <row r="64" spans="1:77" ht="15">
      <c r="A64" t="s">
        <v>1269</v>
      </c>
      <c r="B64" s="398" t="s">
        <v>216</v>
      </c>
      <c r="C64" s="399" t="s">
        <v>1767</v>
      </c>
      <c r="D64" s="453">
        <v>0</v>
      </c>
      <c r="E64" s="398" t="s">
        <v>1749</v>
      </c>
      <c r="F64" s="453">
        <v>3</v>
      </c>
      <c r="G64" s="398" t="s">
        <v>1750</v>
      </c>
      <c r="H64" s="453">
        <v>65</v>
      </c>
      <c r="I64" s="371" t="s">
        <v>1688</v>
      </c>
      <c r="J64" s="453">
        <v>0.2</v>
      </c>
      <c r="K64" s="453">
        <v>10</v>
      </c>
      <c r="L64" s="453"/>
      <c r="M64" s="453">
        <v>6</v>
      </c>
      <c r="N64" s="453">
        <v>0</v>
      </c>
      <c r="O64" s="453"/>
      <c r="P64" s="453"/>
      <c r="Q64" s="453"/>
      <c r="R64" s="453"/>
      <c r="S64" s="453">
        <v>0</v>
      </c>
      <c r="T64" s="453">
        <v>0</v>
      </c>
      <c r="U64" s="453"/>
      <c r="V64" s="453">
        <v>3</v>
      </c>
      <c r="W64" s="453">
        <v>0</v>
      </c>
      <c r="X64" s="313">
        <v>0.9</v>
      </c>
      <c r="Y64" s="486">
        <v>9</v>
      </c>
      <c r="Z64" s="409">
        <v>50</v>
      </c>
      <c r="AA64" s="410">
        <v>41.015999999999998</v>
      </c>
      <c r="AB64" s="410"/>
      <c r="AC64" s="460">
        <v>1</v>
      </c>
      <c r="AD64" s="408"/>
      <c r="AE64" s="411" t="s">
        <v>1909</v>
      </c>
      <c r="AF64" s="452">
        <v>1</v>
      </c>
      <c r="AG64" s="405">
        <v>43101</v>
      </c>
      <c r="AH64" s="408"/>
      <c r="AI64" s="408"/>
      <c r="AJ64" s="400">
        <v>43124</v>
      </c>
      <c r="AK64" s="408"/>
      <c r="AL64" s="396" t="s">
        <v>914</v>
      </c>
      <c r="AM64" s="408"/>
      <c r="AN64" s="408"/>
      <c r="AO64" s="456">
        <v>369.14400000000001</v>
      </c>
      <c r="AP64" s="452">
        <v>556648</v>
      </c>
      <c r="AQ64" s="406">
        <v>43124</v>
      </c>
      <c r="AR64" s="408"/>
      <c r="AS64" s="408"/>
      <c r="AT64" s="408"/>
      <c r="AU64" s="408"/>
      <c r="AV64" s="408"/>
      <c r="AW64" s="408"/>
      <c r="AX64" s="408"/>
      <c r="AY64" t="s">
        <v>1720</v>
      </c>
      <c r="AZ64" s="408"/>
      <c r="BA64" s="408"/>
      <c r="BB64" t="s">
        <v>1726</v>
      </c>
      <c r="BC64" s="456">
        <v>1</v>
      </c>
      <c r="BD64" s="408"/>
      <c r="BE64" s="487"/>
      <c r="BF64" s="488"/>
      <c r="BG64" s="395"/>
      <c r="BH64" s="486">
        <v>1</v>
      </c>
      <c r="BI64" s="460"/>
      <c r="BJ64" s="460">
        <v>33</v>
      </c>
      <c r="BK64" s="486" t="s">
        <v>1910</v>
      </c>
      <c r="BL64" s="411" t="s">
        <v>2687</v>
      </c>
      <c r="BM64" s="486">
        <v>1</v>
      </c>
      <c r="BN64" s="407"/>
      <c r="BO64" s="407"/>
      <c r="BP64" s="407"/>
      <c r="BQ64" s="407" t="s">
        <v>1269</v>
      </c>
      <c r="BR64" s="407"/>
      <c r="BS64" s="419"/>
      <c r="BT64" s="445"/>
      <c r="BU64" s="445"/>
      <c r="BV64" s="445"/>
      <c r="BW64" s="445"/>
      <c r="BX64" s="445"/>
      <c r="BY64" s="445"/>
    </row>
    <row r="65" spans="1:77" ht="15">
      <c r="A65" t="s">
        <v>1269</v>
      </c>
      <c r="B65" s="398" t="s">
        <v>216</v>
      </c>
      <c r="C65" s="399" t="s">
        <v>1767</v>
      </c>
      <c r="D65" s="453">
        <v>0</v>
      </c>
      <c r="E65" s="398" t="s">
        <v>1749</v>
      </c>
      <c r="F65" s="453">
        <v>3</v>
      </c>
      <c r="G65" s="398" t="s">
        <v>1750</v>
      </c>
      <c r="H65" s="453">
        <v>58</v>
      </c>
      <c r="I65" s="371" t="s">
        <v>1769</v>
      </c>
      <c r="J65" s="453">
        <v>0.1</v>
      </c>
      <c r="K65" s="453">
        <v>55</v>
      </c>
      <c r="L65" s="453"/>
      <c r="M65" s="453">
        <v>3</v>
      </c>
      <c r="N65" s="453">
        <v>0</v>
      </c>
      <c r="O65" s="453"/>
      <c r="P65" s="453"/>
      <c r="Q65" s="453"/>
      <c r="R65" s="453"/>
      <c r="S65" s="453">
        <v>0</v>
      </c>
      <c r="T65" s="453">
        <v>0</v>
      </c>
      <c r="U65" s="453"/>
      <c r="V65" s="453">
        <v>40</v>
      </c>
      <c r="W65" s="453">
        <v>0</v>
      </c>
      <c r="X65" s="313">
        <v>0.78</v>
      </c>
      <c r="Y65" s="486">
        <v>43</v>
      </c>
      <c r="Z65" s="409">
        <v>450</v>
      </c>
      <c r="AA65" s="410">
        <v>66.483999999999995</v>
      </c>
      <c r="AB65" s="410"/>
      <c r="AC65" s="460">
        <v>2</v>
      </c>
      <c r="AD65" s="408"/>
      <c r="AE65" s="411" t="s">
        <v>1911</v>
      </c>
      <c r="AF65" s="452">
        <v>1</v>
      </c>
      <c r="AG65" s="405">
        <v>43101</v>
      </c>
      <c r="AH65" s="408"/>
      <c r="AI65" s="408"/>
      <c r="AJ65" s="400">
        <v>43124</v>
      </c>
      <c r="AK65" s="408"/>
      <c r="AL65" s="396" t="s">
        <v>914</v>
      </c>
      <c r="AM65" s="408"/>
      <c r="AN65" s="408"/>
      <c r="AO65" s="456">
        <v>2858.8119999999999</v>
      </c>
      <c r="AP65" s="452">
        <v>556648</v>
      </c>
      <c r="AQ65" s="406">
        <v>43124</v>
      </c>
      <c r="AR65" s="408"/>
      <c r="AS65" s="408"/>
      <c r="AT65" s="408"/>
      <c r="AU65" s="408"/>
      <c r="AV65" s="408"/>
      <c r="AW65" s="408"/>
      <c r="AX65" s="408"/>
      <c r="AY65" t="s">
        <v>1720</v>
      </c>
      <c r="AZ65" s="408"/>
      <c r="BA65" s="408"/>
      <c r="BB65" t="s">
        <v>1726</v>
      </c>
      <c r="BC65" s="456">
        <v>1</v>
      </c>
      <c r="BD65" s="408"/>
      <c r="BE65" s="487"/>
      <c r="BF65" s="488"/>
      <c r="BG65" s="395"/>
      <c r="BH65" s="486">
        <v>1</v>
      </c>
      <c r="BI65" s="460"/>
      <c r="BJ65" s="460">
        <v>34</v>
      </c>
      <c r="BK65" s="486" t="s">
        <v>1912</v>
      </c>
      <c r="BL65" s="411" t="s">
        <v>2688</v>
      </c>
      <c r="BM65" s="486">
        <v>1</v>
      </c>
      <c r="BN65" s="407"/>
      <c r="BO65" s="407"/>
      <c r="BP65" s="407"/>
      <c r="BQ65" s="407" t="s">
        <v>1269</v>
      </c>
      <c r="BR65" s="407"/>
      <c r="BS65" s="419"/>
      <c r="BT65" s="445"/>
      <c r="BU65" s="445"/>
      <c r="BV65" s="445"/>
      <c r="BW65" s="445"/>
      <c r="BX65" s="445"/>
      <c r="BY65" s="445"/>
    </row>
    <row r="66" spans="1:77" ht="15">
      <c r="A66" t="s">
        <v>1269</v>
      </c>
      <c r="B66" s="398" t="s">
        <v>216</v>
      </c>
      <c r="C66" s="399" t="s">
        <v>1767</v>
      </c>
      <c r="D66" s="453">
        <v>0</v>
      </c>
      <c r="E66" s="398" t="s">
        <v>1749</v>
      </c>
      <c r="F66" s="453">
        <v>3</v>
      </c>
      <c r="G66" s="398" t="s">
        <v>1750</v>
      </c>
      <c r="H66" s="453">
        <v>58</v>
      </c>
      <c r="I66" s="371" t="s">
        <v>1770</v>
      </c>
      <c r="J66" s="453">
        <v>0.1</v>
      </c>
      <c r="K66" s="453">
        <v>33</v>
      </c>
      <c r="L66" s="453"/>
      <c r="M66" s="453">
        <v>2</v>
      </c>
      <c r="N66" s="453">
        <v>0</v>
      </c>
      <c r="O66" s="453"/>
      <c r="P66" s="453"/>
      <c r="Q66" s="453"/>
      <c r="R66" s="453"/>
      <c r="S66" s="453">
        <v>0</v>
      </c>
      <c r="T66" s="453">
        <v>0</v>
      </c>
      <c r="U66" s="453"/>
      <c r="V66" s="453">
        <v>28</v>
      </c>
      <c r="W66" s="453">
        <v>0</v>
      </c>
      <c r="X66" s="313">
        <v>0.91</v>
      </c>
      <c r="Y66" s="486">
        <v>30</v>
      </c>
      <c r="Z66" s="409">
        <v>310</v>
      </c>
      <c r="AA66" s="410">
        <v>64.363</v>
      </c>
      <c r="AB66" s="410"/>
      <c r="AC66" s="460">
        <v>1</v>
      </c>
      <c r="AD66" s="408"/>
      <c r="AE66" s="411" t="s">
        <v>1913</v>
      </c>
      <c r="AF66" s="452">
        <v>1</v>
      </c>
      <c r="AG66" s="405">
        <v>43101</v>
      </c>
      <c r="AH66" s="408"/>
      <c r="AI66" s="408"/>
      <c r="AJ66" s="400">
        <v>43124</v>
      </c>
      <c r="AK66" s="408"/>
      <c r="AL66" s="396" t="s">
        <v>1019</v>
      </c>
      <c r="AM66" s="408"/>
      <c r="AN66" s="408"/>
      <c r="AO66" s="456">
        <v>1930.89</v>
      </c>
      <c r="AP66" s="452">
        <v>556648</v>
      </c>
      <c r="AQ66" s="406">
        <v>43124</v>
      </c>
      <c r="AR66" s="408"/>
      <c r="AS66" s="408"/>
      <c r="AT66" s="408"/>
      <c r="AU66" s="408"/>
      <c r="AV66" s="408"/>
      <c r="AW66" s="408"/>
      <c r="AX66" s="408"/>
      <c r="AY66" t="s">
        <v>1720</v>
      </c>
      <c r="AZ66" s="408"/>
      <c r="BA66" s="408"/>
      <c r="BB66" t="s">
        <v>1726</v>
      </c>
      <c r="BC66" s="456">
        <v>1</v>
      </c>
      <c r="BD66" s="408"/>
      <c r="BE66" s="487"/>
      <c r="BF66" s="488"/>
      <c r="BG66" s="395"/>
      <c r="BH66" s="486">
        <v>1</v>
      </c>
      <c r="BI66" s="460"/>
      <c r="BJ66" s="460">
        <v>35</v>
      </c>
      <c r="BK66" s="486" t="s">
        <v>1914</v>
      </c>
      <c r="BL66" s="411" t="s">
        <v>2689</v>
      </c>
      <c r="BM66" s="486">
        <v>1</v>
      </c>
      <c r="BN66" s="407"/>
      <c r="BO66" s="407"/>
      <c r="BP66" s="407"/>
      <c r="BQ66" s="407" t="s">
        <v>1269</v>
      </c>
      <c r="BR66" s="407"/>
      <c r="BS66" s="419"/>
      <c r="BT66" s="445"/>
      <c r="BU66" s="445"/>
      <c r="BV66" s="445"/>
      <c r="BW66" s="445"/>
      <c r="BX66" s="445"/>
      <c r="BY66" s="445"/>
    </row>
    <row r="67" spans="1:77" ht="15">
      <c r="A67" t="s">
        <v>1269</v>
      </c>
      <c r="B67" s="398" t="s">
        <v>216</v>
      </c>
      <c r="C67" s="399" t="s">
        <v>1767</v>
      </c>
      <c r="D67" s="453">
        <v>0</v>
      </c>
      <c r="E67" s="398" t="s">
        <v>1749</v>
      </c>
      <c r="F67" s="453">
        <v>3</v>
      </c>
      <c r="G67" s="398" t="s">
        <v>1750</v>
      </c>
      <c r="H67" s="453">
        <v>58</v>
      </c>
      <c r="I67" s="371" t="s">
        <v>1771</v>
      </c>
      <c r="J67" s="453">
        <v>0.3</v>
      </c>
      <c r="K67" s="453">
        <v>45</v>
      </c>
      <c r="L67" s="453"/>
      <c r="M67" s="453">
        <v>23</v>
      </c>
      <c r="N67" s="453">
        <v>0</v>
      </c>
      <c r="O67" s="453"/>
      <c r="P67" s="453"/>
      <c r="Q67" s="453"/>
      <c r="R67" s="453"/>
      <c r="S67" s="453">
        <v>0</v>
      </c>
      <c r="T67" s="453">
        <v>0</v>
      </c>
      <c r="U67" s="453"/>
      <c r="V67" s="453">
        <v>21</v>
      </c>
      <c r="W67" s="453">
        <v>0</v>
      </c>
      <c r="X67" s="313">
        <v>0.98</v>
      </c>
      <c r="Y67" s="486">
        <v>44</v>
      </c>
      <c r="Z67" s="409">
        <v>160</v>
      </c>
      <c r="AA67" s="410">
        <v>46.616</v>
      </c>
      <c r="AB67" s="410"/>
      <c r="AC67" s="460">
        <v>4</v>
      </c>
      <c r="AD67" s="408"/>
      <c r="AE67" s="411" t="s">
        <v>1915</v>
      </c>
      <c r="AF67" s="452">
        <v>1</v>
      </c>
      <c r="AG67" s="405">
        <v>43101</v>
      </c>
      <c r="AH67" s="408"/>
      <c r="AI67" s="408"/>
      <c r="AJ67" s="400">
        <v>43124</v>
      </c>
      <c r="AK67" s="408"/>
      <c r="AL67" s="396" t="s">
        <v>1019</v>
      </c>
      <c r="AM67" s="408"/>
      <c r="AN67" s="408"/>
      <c r="AO67" s="456">
        <v>2051.1039999999998</v>
      </c>
      <c r="AP67" s="452">
        <v>556648</v>
      </c>
      <c r="AQ67" s="406">
        <v>43124</v>
      </c>
      <c r="AR67" s="408"/>
      <c r="AS67" s="408"/>
      <c r="AT67" s="408"/>
      <c r="AU67" s="408"/>
      <c r="AV67" s="408"/>
      <c r="AW67" s="408"/>
      <c r="AX67" s="408"/>
      <c r="AY67" t="s">
        <v>1720</v>
      </c>
      <c r="AZ67" s="408"/>
      <c r="BA67" s="408"/>
      <c r="BB67" t="s">
        <v>1726</v>
      </c>
      <c r="BC67" s="456">
        <v>1</v>
      </c>
      <c r="BD67" s="408"/>
      <c r="BE67" s="487"/>
      <c r="BF67" s="488"/>
      <c r="BG67" s="395"/>
      <c r="BH67" s="486">
        <v>1</v>
      </c>
      <c r="BI67" s="460"/>
      <c r="BJ67" s="460">
        <v>36</v>
      </c>
      <c r="BK67" s="486" t="s">
        <v>1916</v>
      </c>
      <c r="BL67" s="411" t="s">
        <v>2690</v>
      </c>
      <c r="BM67" s="486">
        <v>1</v>
      </c>
      <c r="BN67" s="407"/>
      <c r="BO67" s="407"/>
      <c r="BP67" s="407"/>
      <c r="BQ67" s="407" t="s">
        <v>1269</v>
      </c>
      <c r="BR67" s="407"/>
      <c r="BS67" s="419"/>
      <c r="BT67" s="445"/>
      <c r="BU67" s="445"/>
      <c r="BV67" s="445"/>
      <c r="BW67" s="445"/>
      <c r="BX67" s="445"/>
      <c r="BY67" s="445"/>
    </row>
    <row r="68" spans="1:77" ht="15">
      <c r="A68" t="s">
        <v>1269</v>
      </c>
      <c r="B68" s="398" t="s">
        <v>216</v>
      </c>
      <c r="C68" s="399" t="s">
        <v>1682</v>
      </c>
      <c r="D68" s="453">
        <v>0</v>
      </c>
      <c r="E68" s="398" t="s">
        <v>1749</v>
      </c>
      <c r="F68" s="453">
        <v>3</v>
      </c>
      <c r="G68" s="398" t="s">
        <v>1750</v>
      </c>
      <c r="H68" s="453">
        <v>58</v>
      </c>
      <c r="I68" s="371" t="s">
        <v>1688</v>
      </c>
      <c r="J68" s="453">
        <v>3.3</v>
      </c>
      <c r="K68" s="453">
        <v>274</v>
      </c>
      <c r="L68" s="453"/>
      <c r="M68" s="453">
        <v>31</v>
      </c>
      <c r="N68" s="453">
        <v>0</v>
      </c>
      <c r="O68" s="453"/>
      <c r="P68" s="453"/>
      <c r="Q68" s="453"/>
      <c r="R68" s="453"/>
      <c r="S68" s="453">
        <v>0</v>
      </c>
      <c r="T68" s="453">
        <v>0</v>
      </c>
      <c r="U68" s="453"/>
      <c r="V68" s="453">
        <v>110</v>
      </c>
      <c r="W68" s="453">
        <v>0</v>
      </c>
      <c r="X68" s="313">
        <v>0.51</v>
      </c>
      <c r="Y68" s="486">
        <v>141</v>
      </c>
      <c r="Z68" s="409">
        <v>48</v>
      </c>
      <c r="AA68" s="410">
        <v>63.246000000000002</v>
      </c>
      <c r="AB68" s="410"/>
      <c r="AC68" s="460">
        <v>16</v>
      </c>
      <c r="AD68" s="408"/>
      <c r="AE68" s="411" t="s">
        <v>1917</v>
      </c>
      <c r="AF68" s="452">
        <v>1</v>
      </c>
      <c r="AG68" s="405">
        <v>43101</v>
      </c>
      <c r="AH68" s="408"/>
      <c r="AI68" s="408"/>
      <c r="AJ68" s="400">
        <v>43124</v>
      </c>
      <c r="AK68" s="408"/>
      <c r="AL68" s="396" t="s">
        <v>1019</v>
      </c>
      <c r="AM68" s="408"/>
      <c r="AN68" s="408"/>
      <c r="AO68" s="456">
        <v>8917.6859999999997</v>
      </c>
      <c r="AP68" s="452">
        <v>556647</v>
      </c>
      <c r="AQ68" s="406">
        <v>43124</v>
      </c>
      <c r="AR68" s="408"/>
      <c r="AS68" s="408"/>
      <c r="AT68" s="408"/>
      <c r="AU68" s="408"/>
      <c r="AV68" s="408"/>
      <c r="AW68" s="408"/>
      <c r="AX68" s="408"/>
      <c r="AY68" t="s">
        <v>1720</v>
      </c>
      <c r="AZ68" s="408"/>
      <c r="BA68" s="408"/>
      <c r="BB68" t="s">
        <v>1726</v>
      </c>
      <c r="BC68" s="456">
        <v>1</v>
      </c>
      <c r="BD68" s="408"/>
      <c r="BE68" s="487"/>
      <c r="BF68" s="488"/>
      <c r="BG68" s="395"/>
      <c r="BH68" s="486">
        <v>1</v>
      </c>
      <c r="BI68" s="460"/>
      <c r="BJ68" s="460">
        <v>22</v>
      </c>
      <c r="BK68" s="486" t="s">
        <v>201</v>
      </c>
      <c r="BL68" s="411" t="s">
        <v>2691</v>
      </c>
      <c r="BM68" s="486">
        <v>1</v>
      </c>
      <c r="BN68" s="407"/>
      <c r="BO68" s="407"/>
      <c r="BP68" s="407"/>
      <c r="BQ68" s="407" t="s">
        <v>1269</v>
      </c>
      <c r="BR68" s="407"/>
      <c r="BS68" s="419"/>
      <c r="BT68" s="445"/>
      <c r="BU68" s="445"/>
      <c r="BV68" s="445"/>
      <c r="BW68" s="445"/>
      <c r="BX68" s="445"/>
      <c r="BY68" s="445"/>
    </row>
    <row r="69" spans="1:77" ht="15">
      <c r="A69" t="s">
        <v>1269</v>
      </c>
      <c r="B69" s="398" t="s">
        <v>216</v>
      </c>
      <c r="C69" s="399" t="s">
        <v>1682</v>
      </c>
      <c r="D69" s="453">
        <v>0</v>
      </c>
      <c r="E69" s="398" t="s">
        <v>1749</v>
      </c>
      <c r="F69" s="453">
        <v>3</v>
      </c>
      <c r="G69" s="398" t="s">
        <v>1750</v>
      </c>
      <c r="H69" s="453">
        <v>58</v>
      </c>
      <c r="I69" s="371" t="s">
        <v>1686</v>
      </c>
      <c r="J69" s="453">
        <v>1.8</v>
      </c>
      <c r="K69" s="453">
        <v>138</v>
      </c>
      <c r="L69" s="453"/>
      <c r="M69" s="453">
        <v>26</v>
      </c>
      <c r="N69" s="453">
        <v>0</v>
      </c>
      <c r="O69" s="453"/>
      <c r="P69" s="453"/>
      <c r="Q69" s="453"/>
      <c r="R69" s="453"/>
      <c r="S69" s="453">
        <v>0</v>
      </c>
      <c r="T69" s="453">
        <v>0</v>
      </c>
      <c r="U69" s="453"/>
      <c r="V69" s="453">
        <v>42</v>
      </c>
      <c r="W69" s="453">
        <v>0</v>
      </c>
      <c r="X69" s="313">
        <v>0.49</v>
      </c>
      <c r="Y69" s="486">
        <v>68</v>
      </c>
      <c r="Z69" s="409">
        <v>42</v>
      </c>
      <c r="AA69" s="410">
        <v>93.039000000000001</v>
      </c>
      <c r="AB69" s="410"/>
      <c r="AC69" s="460">
        <v>7</v>
      </c>
      <c r="AD69" s="408"/>
      <c r="AE69" s="411" t="s">
        <v>1918</v>
      </c>
      <c r="AF69" s="452">
        <v>1</v>
      </c>
      <c r="AG69" s="405">
        <v>43101</v>
      </c>
      <c r="AH69" s="408"/>
      <c r="AI69" s="408"/>
      <c r="AJ69" s="400">
        <v>43124</v>
      </c>
      <c r="AK69" s="408"/>
      <c r="AL69" s="396" t="s">
        <v>1019</v>
      </c>
      <c r="AM69" s="408"/>
      <c r="AN69" s="408"/>
      <c r="AO69" s="456">
        <v>6326.652</v>
      </c>
      <c r="AP69" s="452">
        <v>556647</v>
      </c>
      <c r="AQ69" s="406">
        <v>43124</v>
      </c>
      <c r="AR69" s="408"/>
      <c r="AS69" s="408"/>
      <c r="AT69" s="408"/>
      <c r="AU69" s="408"/>
      <c r="AV69" s="408"/>
      <c r="AW69" s="408"/>
      <c r="AX69" s="408"/>
      <c r="AY69" t="s">
        <v>1720</v>
      </c>
      <c r="AZ69" s="408"/>
      <c r="BA69" s="408"/>
      <c r="BB69" t="s">
        <v>1726</v>
      </c>
      <c r="BC69" s="456">
        <v>1</v>
      </c>
      <c r="BD69" s="408"/>
      <c r="BE69" s="487"/>
      <c r="BF69" s="488"/>
      <c r="BG69" s="395"/>
      <c r="BH69" s="486">
        <v>1</v>
      </c>
      <c r="BI69" s="460"/>
      <c r="BJ69" s="460">
        <v>23</v>
      </c>
      <c r="BK69" s="486" t="s">
        <v>178</v>
      </c>
      <c r="BL69" s="411" t="s">
        <v>2692</v>
      </c>
      <c r="BM69" s="486">
        <v>1</v>
      </c>
      <c r="BN69" s="407"/>
      <c r="BO69" s="407"/>
      <c r="BP69" s="407"/>
      <c r="BQ69" s="407" t="s">
        <v>1269</v>
      </c>
      <c r="BR69" s="407"/>
      <c r="BS69" s="419"/>
      <c r="BT69" s="445"/>
      <c r="BU69" s="445"/>
      <c r="BV69" s="445"/>
      <c r="BW69" s="445"/>
      <c r="BX69" s="445"/>
      <c r="BY69" s="445"/>
    </row>
    <row r="70" spans="1:77" ht="15">
      <c r="A70" t="s">
        <v>1269</v>
      </c>
      <c r="B70" s="398" t="s">
        <v>216</v>
      </c>
      <c r="C70" s="399" t="s">
        <v>1682</v>
      </c>
      <c r="D70" s="453">
        <v>0</v>
      </c>
      <c r="E70" s="398" t="s">
        <v>1749</v>
      </c>
      <c r="F70" s="453">
        <v>3</v>
      </c>
      <c r="G70" s="398" t="s">
        <v>1750</v>
      </c>
      <c r="H70" s="453">
        <v>58</v>
      </c>
      <c r="I70" s="371" t="s">
        <v>1694</v>
      </c>
      <c r="J70" s="453">
        <v>0.3</v>
      </c>
      <c r="K70" s="453">
        <v>19</v>
      </c>
      <c r="L70" s="453"/>
      <c r="M70" s="453">
        <v>13</v>
      </c>
      <c r="N70" s="453">
        <v>0</v>
      </c>
      <c r="O70" s="453"/>
      <c r="P70" s="453"/>
      <c r="Q70" s="453"/>
      <c r="R70" s="453"/>
      <c r="S70" s="453">
        <v>0</v>
      </c>
      <c r="T70" s="453">
        <v>0</v>
      </c>
      <c r="U70" s="453"/>
      <c r="V70" s="453">
        <v>7</v>
      </c>
      <c r="W70" s="453">
        <v>0</v>
      </c>
      <c r="X70" s="313">
        <v>1.05</v>
      </c>
      <c r="Y70" s="486">
        <v>20</v>
      </c>
      <c r="Z70" s="409">
        <v>73</v>
      </c>
      <c r="AA70" s="410">
        <v>39.226999999999997</v>
      </c>
      <c r="AB70" s="410"/>
      <c r="AC70" s="460">
        <v>2</v>
      </c>
      <c r="AD70" s="408"/>
      <c r="AE70" s="411" t="s">
        <v>1919</v>
      </c>
      <c r="AF70" s="452">
        <v>1</v>
      </c>
      <c r="AG70" s="405">
        <v>43101</v>
      </c>
      <c r="AH70" s="408"/>
      <c r="AI70" s="408"/>
      <c r="AJ70" s="400">
        <v>43124</v>
      </c>
      <c r="AK70" s="408"/>
      <c r="AL70" s="396" t="s">
        <v>1019</v>
      </c>
      <c r="AM70" s="408"/>
      <c r="AN70" s="408"/>
      <c r="AO70" s="456">
        <v>784.54</v>
      </c>
      <c r="AP70" s="452">
        <v>556647</v>
      </c>
      <c r="AQ70" s="406">
        <v>43124</v>
      </c>
      <c r="AR70" s="408"/>
      <c r="AS70" s="408"/>
      <c r="AT70" s="408"/>
      <c r="AU70" s="408"/>
      <c r="AV70" s="408"/>
      <c r="AW70" s="408"/>
      <c r="AX70" s="408"/>
      <c r="AY70" t="s">
        <v>1720</v>
      </c>
      <c r="AZ70" s="408"/>
      <c r="BA70" s="408"/>
      <c r="BB70" t="s">
        <v>1726</v>
      </c>
      <c r="BC70" s="456">
        <v>1</v>
      </c>
      <c r="BD70" s="408"/>
      <c r="BE70" s="487"/>
      <c r="BF70" s="488"/>
      <c r="BG70" s="395"/>
      <c r="BH70" s="486">
        <v>1</v>
      </c>
      <c r="BI70" s="460"/>
      <c r="BJ70" s="460">
        <v>24</v>
      </c>
      <c r="BK70" s="486" t="s">
        <v>1920</v>
      </c>
      <c r="BL70" s="411" t="s">
        <v>2693</v>
      </c>
      <c r="BM70" s="486">
        <v>1</v>
      </c>
      <c r="BN70" s="407"/>
      <c r="BO70" s="407"/>
      <c r="BP70" s="407"/>
      <c r="BQ70" s="407" t="s">
        <v>1269</v>
      </c>
      <c r="BR70" s="407"/>
      <c r="BS70" s="419"/>
      <c r="BT70" s="445"/>
      <c r="BU70" s="445"/>
      <c r="BV70" s="445"/>
      <c r="BW70" s="445"/>
      <c r="BX70" s="445"/>
      <c r="BY70" s="445"/>
    </row>
    <row r="71" spans="1:77" ht="15">
      <c r="A71" t="s">
        <v>1269</v>
      </c>
      <c r="B71" s="398" t="s">
        <v>85</v>
      </c>
      <c r="C71" s="399" t="s">
        <v>1682</v>
      </c>
      <c r="D71" s="453">
        <v>0</v>
      </c>
      <c r="E71" s="398" t="s">
        <v>1749</v>
      </c>
      <c r="F71" s="453">
        <v>3</v>
      </c>
      <c r="G71" s="398" t="s">
        <v>1750</v>
      </c>
      <c r="H71" s="453">
        <v>106</v>
      </c>
      <c r="I71" s="371" t="s">
        <v>1686</v>
      </c>
      <c r="J71" s="453">
        <v>3.9</v>
      </c>
      <c r="K71" s="453">
        <v>450</v>
      </c>
      <c r="L71" s="453"/>
      <c r="M71" s="453">
        <v>11</v>
      </c>
      <c r="N71" s="453"/>
      <c r="O71" s="453"/>
      <c r="P71" s="453"/>
      <c r="Q71" s="453"/>
      <c r="R71" s="453"/>
      <c r="S71" s="453">
        <v>100</v>
      </c>
      <c r="T71" s="453">
        <v>0</v>
      </c>
      <c r="U71" s="453"/>
      <c r="V71" s="453">
        <v>54</v>
      </c>
      <c r="W71" s="453">
        <v>0</v>
      </c>
      <c r="X71" s="313">
        <v>0.37</v>
      </c>
      <c r="Y71" s="486">
        <v>165</v>
      </c>
      <c r="Z71" s="409">
        <v>48</v>
      </c>
      <c r="AA71" s="410">
        <v>81.358999999999995</v>
      </c>
      <c r="AB71" s="410"/>
      <c r="AC71" s="460">
        <v>23</v>
      </c>
      <c r="AD71" s="408"/>
      <c r="AE71" s="411" t="s">
        <v>1824</v>
      </c>
      <c r="AF71" s="452">
        <v>1</v>
      </c>
      <c r="AG71" s="405">
        <v>43101</v>
      </c>
      <c r="AH71" s="408"/>
      <c r="AI71" s="408"/>
      <c r="AJ71" s="400">
        <v>43109</v>
      </c>
      <c r="AK71" s="408"/>
      <c r="AL71" s="396" t="s">
        <v>1713</v>
      </c>
      <c r="AM71" s="408"/>
      <c r="AN71" s="408"/>
      <c r="AO71" s="456">
        <v>13424.235000000001</v>
      </c>
      <c r="AP71" s="452">
        <v>556642</v>
      </c>
      <c r="AQ71" s="406">
        <v>43105</v>
      </c>
      <c r="AR71" s="408"/>
      <c r="AS71" s="408"/>
      <c r="AT71" s="408"/>
      <c r="AU71" s="408"/>
      <c r="AV71" s="408"/>
      <c r="AW71" s="408"/>
      <c r="AX71" s="408"/>
      <c r="AY71" t="s">
        <v>1720</v>
      </c>
      <c r="AZ71" s="408"/>
      <c r="BA71" s="408"/>
      <c r="BB71" t="s">
        <v>1726</v>
      </c>
      <c r="BC71" s="456">
        <v>1</v>
      </c>
      <c r="BD71" s="408"/>
      <c r="BE71" s="487"/>
      <c r="BF71" s="488"/>
      <c r="BG71" s="395"/>
      <c r="BH71" s="486">
        <v>1</v>
      </c>
      <c r="BI71" s="460"/>
      <c r="BJ71" s="460">
        <v>7</v>
      </c>
      <c r="BK71" s="486" t="s">
        <v>1825</v>
      </c>
      <c r="BL71" s="411" t="s">
        <v>2641</v>
      </c>
      <c r="BM71" s="486">
        <v>1</v>
      </c>
      <c r="BN71" s="407"/>
      <c r="BO71" s="407"/>
      <c r="BP71" s="407"/>
      <c r="BQ71" s="407" t="s">
        <v>1269</v>
      </c>
      <c r="BR71" s="407"/>
      <c r="BS71" s="419"/>
      <c r="BT71" s="445"/>
      <c r="BU71" s="445"/>
      <c r="BV71" s="445"/>
      <c r="BW71" s="445"/>
      <c r="BX71" s="445"/>
      <c r="BY71" s="445"/>
    </row>
    <row r="72" spans="1:77" ht="15">
      <c r="A72" t="s">
        <v>1269</v>
      </c>
      <c r="B72" s="398" t="s">
        <v>216</v>
      </c>
      <c r="C72" s="399" t="s">
        <v>1682</v>
      </c>
      <c r="D72" s="453">
        <v>0</v>
      </c>
      <c r="E72" s="398" t="s">
        <v>1749</v>
      </c>
      <c r="F72" s="453">
        <v>3</v>
      </c>
      <c r="G72" s="398" t="s">
        <v>1750</v>
      </c>
      <c r="H72" s="453">
        <v>125</v>
      </c>
      <c r="I72" s="371" t="s">
        <v>1773</v>
      </c>
      <c r="J72" s="453">
        <v>1</v>
      </c>
      <c r="K72" s="453">
        <v>186</v>
      </c>
      <c r="L72" s="453"/>
      <c r="M72" s="453">
        <v>0</v>
      </c>
      <c r="N72" s="453">
        <v>0</v>
      </c>
      <c r="O72" s="453"/>
      <c r="P72" s="453"/>
      <c r="Q72" s="453"/>
      <c r="R72" s="453"/>
      <c r="S72" s="453">
        <v>0</v>
      </c>
      <c r="T72" s="453">
        <v>0</v>
      </c>
      <c r="U72" s="453"/>
      <c r="V72" s="453">
        <v>29</v>
      </c>
      <c r="W72" s="453">
        <v>0</v>
      </c>
      <c r="X72" s="313">
        <v>0.16</v>
      </c>
      <c r="Y72" s="486">
        <v>29</v>
      </c>
      <c r="Z72" s="409">
        <v>34</v>
      </c>
      <c r="AA72" s="410">
        <v>101.646</v>
      </c>
      <c r="AB72" s="410"/>
      <c r="AC72" s="460">
        <v>5</v>
      </c>
      <c r="AD72" s="408"/>
      <c r="AE72" s="411" t="s">
        <v>1923</v>
      </c>
      <c r="AF72" s="452">
        <v>1</v>
      </c>
      <c r="AG72" s="405">
        <v>43101</v>
      </c>
      <c r="AH72" s="408"/>
      <c r="AI72" s="408"/>
      <c r="AJ72" s="400">
        <v>43124</v>
      </c>
      <c r="AK72" s="408"/>
      <c r="AL72" s="396" t="s">
        <v>914</v>
      </c>
      <c r="AM72" s="408"/>
      <c r="AN72" s="408"/>
      <c r="AO72" s="456">
        <v>2947.7339999999999</v>
      </c>
      <c r="AP72" s="452">
        <v>556647</v>
      </c>
      <c r="AQ72" s="406">
        <v>43124</v>
      </c>
      <c r="AR72" s="408"/>
      <c r="AS72" s="408"/>
      <c r="AT72" s="408"/>
      <c r="AU72" s="408"/>
      <c r="AV72" s="408"/>
      <c r="AW72" s="408"/>
      <c r="AX72" s="408"/>
      <c r="AY72" t="s">
        <v>1720</v>
      </c>
      <c r="AZ72" s="408"/>
      <c r="BA72" s="408"/>
      <c r="BB72" t="s">
        <v>1726</v>
      </c>
      <c r="BC72" s="456">
        <v>1</v>
      </c>
      <c r="BD72" s="408"/>
      <c r="BE72" s="487"/>
      <c r="BF72" s="488"/>
      <c r="BG72" s="395"/>
      <c r="BH72" s="486">
        <v>1</v>
      </c>
      <c r="BI72" s="460"/>
      <c r="BJ72" s="460">
        <v>26</v>
      </c>
      <c r="BK72" s="486" t="s">
        <v>1924</v>
      </c>
      <c r="BL72" s="411" t="s">
        <v>2694</v>
      </c>
      <c r="BM72" s="486">
        <v>1</v>
      </c>
      <c r="BN72" s="407"/>
      <c r="BO72" s="407"/>
      <c r="BP72" s="407"/>
      <c r="BQ72" s="407" t="s">
        <v>1269</v>
      </c>
      <c r="BR72" s="407"/>
      <c r="BS72" s="419"/>
      <c r="BT72" s="445"/>
      <c r="BU72" s="445"/>
      <c r="BV72" s="445"/>
      <c r="BW72" s="445"/>
      <c r="BX72" s="445"/>
      <c r="BY72" s="445"/>
    </row>
    <row r="73" spans="1:77" ht="15">
      <c r="A73" t="s">
        <v>1783</v>
      </c>
      <c r="B73" s="398" t="s">
        <v>85</v>
      </c>
      <c r="C73" s="399" t="s">
        <v>1784</v>
      </c>
      <c r="D73" s="453">
        <v>0</v>
      </c>
      <c r="E73" s="398" t="s">
        <v>1716</v>
      </c>
      <c r="F73" s="453"/>
      <c r="G73" s="398" t="s">
        <v>1750</v>
      </c>
      <c r="H73" s="453">
        <v>77</v>
      </c>
      <c r="I73" s="371" t="s">
        <v>1683</v>
      </c>
      <c r="J73" s="453">
        <v>3.4</v>
      </c>
      <c r="K73" s="453"/>
      <c r="L73" s="453"/>
      <c r="M73" s="453"/>
      <c r="N73" s="453">
        <v>0</v>
      </c>
      <c r="O73" s="453"/>
      <c r="P73" s="453"/>
      <c r="Q73" s="453">
        <v>435.83</v>
      </c>
      <c r="R73" s="453"/>
      <c r="S73" s="453"/>
      <c r="T73" s="453">
        <v>0</v>
      </c>
      <c r="U73" s="453"/>
      <c r="V73" s="453"/>
      <c r="W73" s="453">
        <v>0</v>
      </c>
      <c r="X73" s="313" t="e">
        <v>#DIV/0!</v>
      </c>
      <c r="Y73" s="486">
        <v>52.3</v>
      </c>
      <c r="Z73" s="409">
        <v>15</v>
      </c>
      <c r="AA73" s="410">
        <v>198.52</v>
      </c>
      <c r="AB73" s="410"/>
      <c r="AC73" s="460"/>
      <c r="AD73" s="408"/>
      <c r="AE73" s="411" t="s">
        <v>1925</v>
      </c>
      <c r="AF73" s="452"/>
      <c r="AG73" s="405">
        <v>43101</v>
      </c>
      <c r="AH73" s="408"/>
      <c r="AI73" s="408"/>
      <c r="AJ73" s="400">
        <v>43109</v>
      </c>
      <c r="AK73" s="408"/>
      <c r="AL73" s="396" t="s">
        <v>1009</v>
      </c>
      <c r="AM73" s="408"/>
      <c r="AN73" s="408"/>
      <c r="AO73" s="456">
        <v>10382.596</v>
      </c>
      <c r="AP73" s="452">
        <v>556630</v>
      </c>
      <c r="AQ73" s="406" t="s">
        <v>1785</v>
      </c>
      <c r="AR73" s="408">
        <v>0.5</v>
      </c>
      <c r="AS73" s="408"/>
      <c r="AT73" s="408"/>
      <c r="AU73" s="408"/>
      <c r="AV73" s="408"/>
      <c r="AW73" s="408"/>
      <c r="AX73" s="408"/>
      <c r="AY73" t="s">
        <v>1717</v>
      </c>
      <c r="AZ73" s="408"/>
      <c r="BA73" s="408"/>
      <c r="BB73" t="s">
        <v>1727</v>
      </c>
      <c r="BC73" s="456">
        <v>1</v>
      </c>
      <c r="BD73" s="408"/>
      <c r="BE73" s="487"/>
      <c r="BF73" s="488"/>
      <c r="BG73" s="395"/>
      <c r="BH73" s="486">
        <v>0</v>
      </c>
      <c r="BI73" s="460"/>
      <c r="BJ73" s="460">
        <v>14</v>
      </c>
      <c r="BK73" s="486" t="s">
        <v>1926</v>
      </c>
      <c r="BL73" s="411" t="s">
        <v>2695</v>
      </c>
      <c r="BM73" s="486">
        <v>1</v>
      </c>
      <c r="BN73" s="407"/>
      <c r="BO73" s="407"/>
      <c r="BP73" s="407"/>
      <c r="BQ73" s="407" t="s">
        <v>1783</v>
      </c>
      <c r="BR73" s="407">
        <v>5</v>
      </c>
      <c r="BS73" s="419"/>
      <c r="BT73" s="445"/>
      <c r="BU73" s="445"/>
      <c r="BV73" s="445"/>
      <c r="BW73" s="445"/>
      <c r="BX73" s="445"/>
      <c r="BY73" s="445"/>
    </row>
    <row r="74" spans="1:77" ht="15">
      <c r="A74" t="s">
        <v>1783</v>
      </c>
      <c r="B74" s="398" t="s">
        <v>85</v>
      </c>
      <c r="C74" s="399" t="s">
        <v>1784</v>
      </c>
      <c r="D74" s="453">
        <v>0</v>
      </c>
      <c r="E74" s="398" t="s">
        <v>1716</v>
      </c>
      <c r="F74" s="453"/>
      <c r="G74" s="398" t="s">
        <v>1750</v>
      </c>
      <c r="H74" s="453">
        <v>78</v>
      </c>
      <c r="I74" s="371" t="s">
        <v>1694</v>
      </c>
      <c r="J74" s="453">
        <v>3</v>
      </c>
      <c r="K74" s="453"/>
      <c r="L74" s="453"/>
      <c r="M74" s="453"/>
      <c r="N74" s="453">
        <v>0</v>
      </c>
      <c r="O74" s="453"/>
      <c r="P74" s="453"/>
      <c r="Q74" s="453">
        <v>475</v>
      </c>
      <c r="R74" s="453"/>
      <c r="S74" s="453"/>
      <c r="T74" s="453">
        <v>0</v>
      </c>
      <c r="U74" s="453"/>
      <c r="V74" s="453"/>
      <c r="W74" s="453">
        <v>0</v>
      </c>
      <c r="X74" s="313" t="e">
        <v>#DIV/0!</v>
      </c>
      <c r="Y74" s="486">
        <v>57</v>
      </c>
      <c r="Z74" s="409">
        <v>19</v>
      </c>
      <c r="AA74" s="410">
        <v>171.75</v>
      </c>
      <c r="AB74" s="410"/>
      <c r="AC74" s="460"/>
      <c r="AD74" s="408"/>
      <c r="AE74" s="411" t="s">
        <v>1927</v>
      </c>
      <c r="AF74" s="452"/>
      <c r="AG74" s="405">
        <v>43101</v>
      </c>
      <c r="AH74" s="408"/>
      <c r="AI74" s="408"/>
      <c r="AJ74" s="400">
        <v>43109</v>
      </c>
      <c r="AK74" s="408"/>
      <c r="AL74" s="396" t="s">
        <v>1009</v>
      </c>
      <c r="AM74" s="408"/>
      <c r="AN74" s="408"/>
      <c r="AO74" s="456">
        <v>9789.75</v>
      </c>
      <c r="AP74" s="452">
        <v>556630</v>
      </c>
      <c r="AQ74" s="406" t="s">
        <v>1785</v>
      </c>
      <c r="AR74" s="408">
        <v>0.5</v>
      </c>
      <c r="AS74" s="408"/>
      <c r="AT74" s="408"/>
      <c r="AU74" s="408"/>
      <c r="AV74" s="408"/>
      <c r="AW74" s="408"/>
      <c r="AX74" s="408"/>
      <c r="AY74" t="s">
        <v>1717</v>
      </c>
      <c r="AZ74" s="408"/>
      <c r="BA74" s="408"/>
      <c r="BB74" t="s">
        <v>1727</v>
      </c>
      <c r="BC74" s="456">
        <v>1</v>
      </c>
      <c r="BD74" s="408"/>
      <c r="BE74" s="487"/>
      <c r="BF74" s="488"/>
      <c r="BG74" s="395"/>
      <c r="BH74" s="486">
        <v>0</v>
      </c>
      <c r="BI74" s="460"/>
      <c r="BJ74" s="460">
        <v>15</v>
      </c>
      <c r="BK74" s="486" t="s">
        <v>1928</v>
      </c>
      <c r="BL74" s="411" t="s">
        <v>2696</v>
      </c>
      <c r="BM74" s="486">
        <v>1</v>
      </c>
      <c r="BN74" s="407"/>
      <c r="BO74" s="407"/>
      <c r="BP74" s="407"/>
      <c r="BQ74" s="407" t="s">
        <v>1783</v>
      </c>
      <c r="BR74" s="407">
        <v>5</v>
      </c>
      <c r="BS74" s="419"/>
      <c r="BT74" s="445"/>
      <c r="BU74" s="445"/>
      <c r="BV74" s="445"/>
      <c r="BW74" s="445"/>
      <c r="BX74" s="445"/>
      <c r="BY74" s="445"/>
    </row>
    <row r="75" spans="1:77" ht="15">
      <c r="A75" t="s">
        <v>1783</v>
      </c>
      <c r="B75" s="398" t="s">
        <v>85</v>
      </c>
      <c r="C75" s="399" t="s">
        <v>1784</v>
      </c>
      <c r="D75" s="453">
        <v>0</v>
      </c>
      <c r="E75" s="398" t="s">
        <v>1716</v>
      </c>
      <c r="F75" s="453"/>
      <c r="G75" s="398" t="s">
        <v>1750</v>
      </c>
      <c r="H75" s="453">
        <v>66</v>
      </c>
      <c r="I75" s="371" t="s">
        <v>1632</v>
      </c>
      <c r="J75" s="453">
        <v>2.4</v>
      </c>
      <c r="K75" s="453"/>
      <c r="L75" s="453"/>
      <c r="M75" s="453"/>
      <c r="N75" s="453">
        <v>0</v>
      </c>
      <c r="O75" s="453"/>
      <c r="P75" s="453"/>
      <c r="Q75" s="453">
        <v>341.67</v>
      </c>
      <c r="R75" s="453"/>
      <c r="S75" s="453"/>
      <c r="T75" s="453">
        <v>0</v>
      </c>
      <c r="U75" s="453"/>
      <c r="V75" s="453"/>
      <c r="W75" s="453">
        <v>0</v>
      </c>
      <c r="X75" s="313" t="e">
        <v>#DIV/0!</v>
      </c>
      <c r="Y75" s="486">
        <v>41</v>
      </c>
      <c r="Z75" s="409">
        <v>17</v>
      </c>
      <c r="AA75" s="410">
        <v>171.75</v>
      </c>
      <c r="AB75" s="410"/>
      <c r="AC75" s="460"/>
      <c r="AD75" s="408"/>
      <c r="AE75" s="411" t="s">
        <v>1929</v>
      </c>
      <c r="AF75" s="452"/>
      <c r="AG75" s="405">
        <v>43101</v>
      </c>
      <c r="AH75" s="408"/>
      <c r="AI75" s="408"/>
      <c r="AJ75" s="400">
        <v>43109</v>
      </c>
      <c r="AK75" s="408"/>
      <c r="AL75" s="396" t="s">
        <v>1009</v>
      </c>
      <c r="AM75" s="408"/>
      <c r="AN75" s="408"/>
      <c r="AO75" s="456">
        <v>7041.75</v>
      </c>
      <c r="AP75" s="452">
        <v>556630</v>
      </c>
      <c r="AQ75" s="406" t="s">
        <v>1785</v>
      </c>
      <c r="AR75" s="408">
        <v>0.5</v>
      </c>
      <c r="AS75" s="408"/>
      <c r="AT75" s="408"/>
      <c r="AU75" s="408"/>
      <c r="AV75" s="408"/>
      <c r="AW75" s="408"/>
      <c r="AX75" s="408"/>
      <c r="AY75" t="s">
        <v>1717</v>
      </c>
      <c r="AZ75" s="408"/>
      <c r="BA75" s="408"/>
      <c r="BB75" t="s">
        <v>1727</v>
      </c>
      <c r="BC75" s="456">
        <v>1</v>
      </c>
      <c r="BD75" s="408"/>
      <c r="BE75" s="487"/>
      <c r="BF75" s="488"/>
      <c r="BG75" s="395"/>
      <c r="BH75" s="486">
        <v>0</v>
      </c>
      <c r="BI75" s="460"/>
      <c r="BJ75" s="460">
        <v>17</v>
      </c>
      <c r="BK75" s="486" t="s">
        <v>86</v>
      </c>
      <c r="BL75" s="411" t="s">
        <v>2697</v>
      </c>
      <c r="BM75" s="486">
        <v>1</v>
      </c>
      <c r="BN75" s="407"/>
      <c r="BO75" s="407"/>
      <c r="BP75" s="407"/>
      <c r="BQ75" s="407" t="s">
        <v>1783</v>
      </c>
      <c r="BR75" s="407">
        <v>5</v>
      </c>
      <c r="BS75" s="419"/>
      <c r="BT75" s="445"/>
      <c r="BU75" s="445"/>
      <c r="BV75" s="445"/>
      <c r="BW75" s="445"/>
      <c r="BX75" s="445"/>
      <c r="BY75" s="445"/>
    </row>
    <row r="76" spans="1:77" ht="15">
      <c r="A76" t="s">
        <v>1783</v>
      </c>
      <c r="B76" s="398" t="s">
        <v>85</v>
      </c>
      <c r="C76" s="399" t="s">
        <v>1784</v>
      </c>
      <c r="D76" s="453">
        <v>0</v>
      </c>
      <c r="E76" s="398" t="s">
        <v>1716</v>
      </c>
      <c r="F76" s="453"/>
      <c r="G76" s="398" t="s">
        <v>1750</v>
      </c>
      <c r="H76" s="453">
        <v>48</v>
      </c>
      <c r="I76" s="371" t="s">
        <v>1683</v>
      </c>
      <c r="J76" s="453">
        <v>6.1</v>
      </c>
      <c r="K76" s="453"/>
      <c r="L76" s="453"/>
      <c r="M76" s="453"/>
      <c r="N76" s="453">
        <v>0</v>
      </c>
      <c r="O76" s="453"/>
      <c r="P76" s="453"/>
      <c r="Q76" s="453">
        <v>633.33000000000004</v>
      </c>
      <c r="R76" s="453"/>
      <c r="S76" s="453"/>
      <c r="T76" s="453">
        <v>0</v>
      </c>
      <c r="U76" s="453"/>
      <c r="V76" s="453"/>
      <c r="W76" s="453">
        <v>0</v>
      </c>
      <c r="X76" s="313" t="e">
        <v>#DIV/0!</v>
      </c>
      <c r="Y76" s="486">
        <v>76</v>
      </c>
      <c r="Z76" s="409">
        <v>12</v>
      </c>
      <c r="AA76" s="410">
        <v>198.52</v>
      </c>
      <c r="AB76" s="410"/>
      <c r="AC76" s="460"/>
      <c r="AD76" s="408"/>
      <c r="AE76" s="411" t="s">
        <v>1930</v>
      </c>
      <c r="AF76" s="452"/>
      <c r="AG76" s="405">
        <v>43101</v>
      </c>
      <c r="AH76" s="408"/>
      <c r="AI76" s="408"/>
      <c r="AJ76" s="400">
        <v>43109</v>
      </c>
      <c r="AK76" s="408"/>
      <c r="AL76" s="396" t="s">
        <v>1008</v>
      </c>
      <c r="AM76" s="408"/>
      <c r="AN76" s="408"/>
      <c r="AO76" s="456">
        <v>15087.52</v>
      </c>
      <c r="AP76" s="452">
        <v>556630</v>
      </c>
      <c r="AQ76" s="406" t="s">
        <v>1785</v>
      </c>
      <c r="AR76" s="408">
        <v>0.5</v>
      </c>
      <c r="AS76" s="408"/>
      <c r="AT76" s="408"/>
      <c r="AU76" s="408"/>
      <c r="AV76" s="408"/>
      <c r="AW76" s="408"/>
      <c r="AX76" s="408"/>
      <c r="AY76" t="s">
        <v>1717</v>
      </c>
      <c r="AZ76" s="408"/>
      <c r="BA76" s="408"/>
      <c r="BB76" t="s">
        <v>1727</v>
      </c>
      <c r="BC76" s="456">
        <v>1</v>
      </c>
      <c r="BD76" s="408"/>
      <c r="BE76" s="487"/>
      <c r="BF76" s="488"/>
      <c r="BG76" s="395"/>
      <c r="BH76" s="486">
        <v>0</v>
      </c>
      <c r="BI76" s="460"/>
      <c r="BJ76" s="460">
        <v>16</v>
      </c>
      <c r="BK76" s="486" t="s">
        <v>128</v>
      </c>
      <c r="BL76" s="411" t="s">
        <v>2698</v>
      </c>
      <c r="BM76" s="486">
        <v>1</v>
      </c>
      <c r="BN76" s="407"/>
      <c r="BO76" s="407"/>
      <c r="BP76" s="407"/>
      <c r="BQ76" s="407" t="s">
        <v>1783</v>
      </c>
      <c r="BR76" s="407">
        <v>5</v>
      </c>
      <c r="BS76" s="419"/>
      <c r="BT76" s="445"/>
      <c r="BU76" s="445"/>
      <c r="BV76" s="445"/>
      <c r="BW76" s="445"/>
      <c r="BX76" s="445"/>
      <c r="BY76" s="445"/>
    </row>
    <row r="77" spans="1:77" ht="15">
      <c r="A77" t="s">
        <v>1269</v>
      </c>
      <c r="B77" s="398" t="s">
        <v>85</v>
      </c>
      <c r="C77" s="399" t="s">
        <v>1767</v>
      </c>
      <c r="D77" s="453">
        <v>0</v>
      </c>
      <c r="E77" s="398" t="s">
        <v>1749</v>
      </c>
      <c r="F77" s="453">
        <v>3</v>
      </c>
      <c r="G77" s="398" t="s">
        <v>1750</v>
      </c>
      <c r="H77" s="453">
        <v>125</v>
      </c>
      <c r="I77" s="371" t="s">
        <v>1786</v>
      </c>
      <c r="J77" s="453">
        <v>0.6</v>
      </c>
      <c r="K77" s="453">
        <v>80</v>
      </c>
      <c r="L77" s="453"/>
      <c r="M77" s="453">
        <v>16</v>
      </c>
      <c r="N77" s="453">
        <v>0</v>
      </c>
      <c r="O77" s="453"/>
      <c r="P77" s="453"/>
      <c r="Q77" s="453"/>
      <c r="R77" s="453"/>
      <c r="S77" s="453">
        <v>42</v>
      </c>
      <c r="T77" s="453">
        <v>0</v>
      </c>
      <c r="U77" s="453"/>
      <c r="V77" s="453">
        <v>0</v>
      </c>
      <c r="W77" s="453">
        <v>0</v>
      </c>
      <c r="X77" s="313">
        <v>0.73</v>
      </c>
      <c r="Y77" s="486">
        <v>58</v>
      </c>
      <c r="Z77" s="409">
        <v>108</v>
      </c>
      <c r="AA77" s="410">
        <v>57.975999999999999</v>
      </c>
      <c r="AB77" s="410"/>
      <c r="AC77" s="460">
        <v>7</v>
      </c>
      <c r="AD77" s="408"/>
      <c r="AE77" s="411" t="s">
        <v>1931</v>
      </c>
      <c r="AF77" s="452">
        <v>1</v>
      </c>
      <c r="AG77" s="405">
        <v>43101</v>
      </c>
      <c r="AH77" s="408"/>
      <c r="AI77" s="408"/>
      <c r="AJ77" s="400">
        <v>43125</v>
      </c>
      <c r="AK77" s="408"/>
      <c r="AL77" s="396" t="s">
        <v>1198</v>
      </c>
      <c r="AM77" s="408"/>
      <c r="AN77" s="408"/>
      <c r="AO77" s="456">
        <v>3362.6080000000002</v>
      </c>
      <c r="AP77" s="452">
        <v>556649</v>
      </c>
      <c r="AQ77" s="406">
        <v>43125</v>
      </c>
      <c r="AR77" s="408"/>
      <c r="AS77" s="408"/>
      <c r="AT77" s="408"/>
      <c r="AU77" s="408"/>
      <c r="AV77" s="408"/>
      <c r="AW77" s="408"/>
      <c r="AX77" s="408"/>
      <c r="AY77" t="s">
        <v>1717</v>
      </c>
      <c r="AZ77" s="408"/>
      <c r="BA77" s="408"/>
      <c r="BB77" t="s">
        <v>1727</v>
      </c>
      <c r="BC77" s="456">
        <v>1</v>
      </c>
      <c r="BD77" s="408"/>
      <c r="BE77" s="487"/>
      <c r="BF77" s="488"/>
      <c r="BG77" s="395"/>
      <c r="BH77" s="486">
        <v>1</v>
      </c>
      <c r="BI77" s="460"/>
      <c r="BJ77" s="460">
        <v>11</v>
      </c>
      <c r="BK77" s="486" t="s">
        <v>1932</v>
      </c>
      <c r="BL77" s="411" t="s">
        <v>2699</v>
      </c>
      <c r="BM77" s="486">
        <v>1</v>
      </c>
      <c r="BN77" s="407"/>
      <c r="BO77" s="407"/>
      <c r="BP77" s="407"/>
      <c r="BQ77" s="407" t="s">
        <v>1269</v>
      </c>
      <c r="BR77" s="407"/>
      <c r="BS77" s="419"/>
      <c r="BT77" s="445"/>
      <c r="BU77" s="445"/>
      <c r="BV77" s="445"/>
      <c r="BW77" s="445"/>
      <c r="BX77" s="445"/>
      <c r="BY77" s="445"/>
    </row>
    <row r="78" spans="1:77" ht="15">
      <c r="A78" t="s">
        <v>1269</v>
      </c>
      <c r="B78" s="398" t="s">
        <v>85</v>
      </c>
      <c r="C78" s="399" t="s">
        <v>1767</v>
      </c>
      <c r="D78" s="453">
        <v>0</v>
      </c>
      <c r="E78" s="398" t="s">
        <v>1749</v>
      </c>
      <c r="F78" s="453">
        <v>3</v>
      </c>
      <c r="G78" s="398" t="s">
        <v>1750</v>
      </c>
      <c r="H78" s="453">
        <v>125</v>
      </c>
      <c r="I78" s="371" t="s">
        <v>1787</v>
      </c>
      <c r="J78" s="453">
        <v>0.6</v>
      </c>
      <c r="K78" s="453">
        <v>77</v>
      </c>
      <c r="L78" s="453"/>
      <c r="M78" s="453">
        <v>22</v>
      </c>
      <c r="N78" s="453">
        <v>0</v>
      </c>
      <c r="O78" s="453"/>
      <c r="P78" s="453"/>
      <c r="Q78" s="453"/>
      <c r="R78" s="453"/>
      <c r="S78" s="453">
        <v>25</v>
      </c>
      <c r="T78" s="453">
        <v>0</v>
      </c>
      <c r="U78" s="453"/>
      <c r="V78" s="453">
        <v>0</v>
      </c>
      <c r="W78" s="453">
        <v>0</v>
      </c>
      <c r="X78" s="313">
        <v>0.61</v>
      </c>
      <c r="Y78" s="486">
        <v>47</v>
      </c>
      <c r="Z78" s="409">
        <v>88</v>
      </c>
      <c r="AA78" s="410">
        <v>53.219000000000001</v>
      </c>
      <c r="AB78" s="410"/>
      <c r="AC78" s="460">
        <v>6</v>
      </c>
      <c r="AD78" s="408"/>
      <c r="AE78" s="411" t="s">
        <v>1933</v>
      </c>
      <c r="AF78" s="452">
        <v>1</v>
      </c>
      <c r="AG78" s="405">
        <v>43101</v>
      </c>
      <c r="AH78" s="408"/>
      <c r="AI78" s="408"/>
      <c r="AJ78" s="400">
        <v>43125</v>
      </c>
      <c r="AK78" s="408"/>
      <c r="AL78" s="396" t="s">
        <v>1198</v>
      </c>
      <c r="AM78" s="408"/>
      <c r="AN78" s="408"/>
      <c r="AO78" s="456">
        <v>2501.2930000000001</v>
      </c>
      <c r="AP78" s="452">
        <v>556649</v>
      </c>
      <c r="AQ78" s="406">
        <v>43125</v>
      </c>
      <c r="AR78" s="408"/>
      <c r="AS78" s="408"/>
      <c r="AT78" s="408"/>
      <c r="AU78" s="408"/>
      <c r="AV78" s="408"/>
      <c r="AW78" s="408"/>
      <c r="AX78" s="408"/>
      <c r="AY78" t="s">
        <v>1717</v>
      </c>
      <c r="AZ78" s="408"/>
      <c r="BA78" s="408"/>
      <c r="BB78" t="s">
        <v>1727</v>
      </c>
      <c r="BC78" s="456">
        <v>1</v>
      </c>
      <c r="BD78" s="408"/>
      <c r="BE78" s="487"/>
      <c r="BF78" s="488"/>
      <c r="BG78" s="395"/>
      <c r="BH78" s="486">
        <v>1</v>
      </c>
      <c r="BI78" s="460"/>
      <c r="BJ78" s="460">
        <v>12</v>
      </c>
      <c r="BK78" s="486" t="s">
        <v>1934</v>
      </c>
      <c r="BL78" s="411" t="s">
        <v>2700</v>
      </c>
      <c r="BM78" s="486">
        <v>1</v>
      </c>
      <c r="BN78" s="407"/>
      <c r="BO78" s="407"/>
      <c r="BP78" s="407"/>
      <c r="BQ78" s="407" t="s">
        <v>1269</v>
      </c>
      <c r="BR78" s="407"/>
      <c r="BS78" s="419"/>
      <c r="BT78" s="445"/>
      <c r="BU78" s="445"/>
      <c r="BV78" s="445"/>
      <c r="BW78" s="445"/>
      <c r="BX78" s="445"/>
      <c r="BY78" s="445"/>
    </row>
    <row r="79" spans="1:77" ht="15">
      <c r="A79" t="s">
        <v>1269</v>
      </c>
      <c r="B79" s="398" t="s">
        <v>85</v>
      </c>
      <c r="C79" s="399" t="s">
        <v>1767</v>
      </c>
      <c r="D79" s="453">
        <v>0</v>
      </c>
      <c r="E79" s="398" t="s">
        <v>1749</v>
      </c>
      <c r="F79" s="453">
        <v>3</v>
      </c>
      <c r="G79" s="398" t="s">
        <v>1750</v>
      </c>
      <c r="H79" s="453">
        <v>125</v>
      </c>
      <c r="I79" s="371" t="s">
        <v>1788</v>
      </c>
      <c r="J79" s="453">
        <v>0.5</v>
      </c>
      <c r="K79" s="453">
        <v>45</v>
      </c>
      <c r="L79" s="453"/>
      <c r="M79" s="453">
        <v>0</v>
      </c>
      <c r="N79" s="453">
        <v>0</v>
      </c>
      <c r="O79" s="453"/>
      <c r="P79" s="453"/>
      <c r="Q79" s="453"/>
      <c r="R79" s="453"/>
      <c r="S79" s="453">
        <v>46</v>
      </c>
      <c r="T79" s="453">
        <v>0</v>
      </c>
      <c r="U79" s="453"/>
      <c r="V79" s="453">
        <v>0</v>
      </c>
      <c r="W79" s="453">
        <v>0</v>
      </c>
      <c r="X79" s="313">
        <v>1.02</v>
      </c>
      <c r="Y79" s="486">
        <v>46</v>
      </c>
      <c r="Z79" s="409">
        <v>94</v>
      </c>
      <c r="AA79" s="410">
        <v>63.719000000000001</v>
      </c>
      <c r="AB79" s="410"/>
      <c r="AC79" s="460">
        <v>1</v>
      </c>
      <c r="AD79" s="408"/>
      <c r="AE79" s="411" t="s">
        <v>1935</v>
      </c>
      <c r="AF79" s="452">
        <v>1</v>
      </c>
      <c r="AG79" s="405">
        <v>43101</v>
      </c>
      <c r="AH79" s="408"/>
      <c r="AI79" s="408"/>
      <c r="AJ79" s="400">
        <v>43125</v>
      </c>
      <c r="AK79" s="408"/>
      <c r="AL79" s="396" t="s">
        <v>1198</v>
      </c>
      <c r="AM79" s="408"/>
      <c r="AN79" s="408"/>
      <c r="AO79" s="456">
        <v>2931.0740000000001</v>
      </c>
      <c r="AP79" s="452">
        <v>556649</v>
      </c>
      <c r="AQ79" s="406">
        <v>43125</v>
      </c>
      <c r="AR79" s="408"/>
      <c r="AS79" s="408"/>
      <c r="AT79" s="414"/>
      <c r="AU79" s="408"/>
      <c r="AV79" s="408"/>
      <c r="AW79" s="408"/>
      <c r="AX79" s="408"/>
      <c r="AY79" t="s">
        <v>1717</v>
      </c>
      <c r="AZ79" s="408"/>
      <c r="BA79" s="408"/>
      <c r="BB79" t="s">
        <v>1727</v>
      </c>
      <c r="BC79" s="456">
        <v>1</v>
      </c>
      <c r="BD79" s="408"/>
      <c r="BE79" s="487"/>
      <c r="BF79" s="488"/>
      <c r="BG79" s="395"/>
      <c r="BH79" s="486">
        <v>1</v>
      </c>
      <c r="BI79" s="460"/>
      <c r="BJ79" s="460">
        <v>13</v>
      </c>
      <c r="BK79" s="486" t="s">
        <v>1936</v>
      </c>
      <c r="BL79" s="411" t="s">
        <v>2701</v>
      </c>
      <c r="BM79" s="486">
        <v>1</v>
      </c>
      <c r="BN79" s="407"/>
      <c r="BO79" s="407"/>
      <c r="BP79" s="407"/>
      <c r="BQ79" s="407" t="s">
        <v>1269</v>
      </c>
      <c r="BR79" s="407"/>
      <c r="BS79" s="419"/>
      <c r="BT79" s="445"/>
      <c r="BU79" s="445"/>
      <c r="BV79" s="445"/>
      <c r="BW79" s="445"/>
      <c r="BX79" s="445"/>
      <c r="BY79" s="445"/>
    </row>
    <row r="80" spans="1:77" ht="15">
      <c r="A80" t="s">
        <v>1783</v>
      </c>
      <c r="B80" s="398" t="s">
        <v>132</v>
      </c>
      <c r="C80" s="399" t="s">
        <v>1784</v>
      </c>
      <c r="D80" s="453">
        <v>0</v>
      </c>
      <c r="E80" s="398" t="s">
        <v>1716</v>
      </c>
      <c r="F80" s="453"/>
      <c r="G80" s="398" t="s">
        <v>1750</v>
      </c>
      <c r="H80" s="453">
        <v>19</v>
      </c>
      <c r="I80" s="371" t="s">
        <v>1685</v>
      </c>
      <c r="J80" s="453">
        <v>0.7</v>
      </c>
      <c r="K80" s="453"/>
      <c r="L80" s="453"/>
      <c r="M80" s="453"/>
      <c r="N80" s="453">
        <v>0</v>
      </c>
      <c r="O80" s="453"/>
      <c r="P80" s="453"/>
      <c r="Q80" s="453">
        <v>208.33</v>
      </c>
      <c r="R80" s="453"/>
      <c r="S80" s="453"/>
      <c r="T80" s="453">
        <v>0</v>
      </c>
      <c r="U80" s="453"/>
      <c r="V80" s="453"/>
      <c r="W80" s="453"/>
      <c r="X80" s="313" t="e">
        <v>#DIV/0!</v>
      </c>
      <c r="Y80" s="486">
        <v>25</v>
      </c>
      <c r="Z80" s="409">
        <v>36</v>
      </c>
      <c r="AA80" s="410">
        <v>160.69</v>
      </c>
      <c r="AB80" s="410"/>
      <c r="AC80" s="460"/>
      <c r="AD80" s="408"/>
      <c r="AE80" s="411" t="s">
        <v>1937</v>
      </c>
      <c r="AF80" s="452"/>
      <c r="AG80" s="405">
        <v>43101</v>
      </c>
      <c r="AH80" s="408"/>
      <c r="AI80" s="408"/>
      <c r="AJ80" s="400">
        <v>43109</v>
      </c>
      <c r="AK80" s="408"/>
      <c r="AL80" s="396" t="s">
        <v>911</v>
      </c>
      <c r="AM80" s="408"/>
      <c r="AN80" s="408"/>
      <c r="AO80" s="456">
        <v>4017.25</v>
      </c>
      <c r="AP80" s="452">
        <v>556633</v>
      </c>
      <c r="AQ80" s="406" t="s">
        <v>1785</v>
      </c>
      <c r="AR80" s="408">
        <v>0.5</v>
      </c>
      <c r="AS80" s="408"/>
      <c r="AT80" s="414"/>
      <c r="AU80" s="408"/>
      <c r="AV80" s="408"/>
      <c r="AW80" s="408"/>
      <c r="AX80" s="408"/>
      <c r="AY80" t="s">
        <v>1720</v>
      </c>
      <c r="AZ80" s="408"/>
      <c r="BA80" s="408"/>
      <c r="BB80" t="s">
        <v>1726</v>
      </c>
      <c r="BC80" s="456">
        <v>1</v>
      </c>
      <c r="BD80" s="408"/>
      <c r="BE80" s="487"/>
      <c r="BF80" s="488"/>
      <c r="BG80" s="395"/>
      <c r="BH80" s="486">
        <v>0</v>
      </c>
      <c r="BI80" s="460"/>
      <c r="BJ80" s="460">
        <v>7</v>
      </c>
      <c r="BK80" s="486" t="s">
        <v>1938</v>
      </c>
      <c r="BL80" s="411" t="s">
        <v>2702</v>
      </c>
      <c r="BM80" s="486">
        <v>1</v>
      </c>
      <c r="BN80" s="407"/>
      <c r="BO80" s="407"/>
      <c r="BP80" s="407"/>
      <c r="BQ80" s="407" t="s">
        <v>1783</v>
      </c>
      <c r="BR80" s="407">
        <v>5</v>
      </c>
      <c r="BS80" s="419"/>
      <c r="BT80" s="445"/>
      <c r="BU80" s="445"/>
      <c r="BV80" s="445"/>
      <c r="BW80" s="445"/>
      <c r="BX80" s="445"/>
      <c r="BY80" s="445"/>
    </row>
    <row r="81" spans="1:77" ht="15">
      <c r="A81" t="s">
        <v>1783</v>
      </c>
      <c r="B81" s="398" t="s">
        <v>132</v>
      </c>
      <c r="C81" s="399" t="s">
        <v>1784</v>
      </c>
      <c r="D81" s="453">
        <v>0</v>
      </c>
      <c r="E81" s="398" t="s">
        <v>1716</v>
      </c>
      <c r="F81" s="453"/>
      <c r="G81" s="398" t="s">
        <v>1750</v>
      </c>
      <c r="H81" s="453">
        <v>26</v>
      </c>
      <c r="I81" s="371" t="s">
        <v>1768</v>
      </c>
      <c r="J81" s="453">
        <v>1.2</v>
      </c>
      <c r="K81" s="453"/>
      <c r="L81" s="453"/>
      <c r="M81" s="453"/>
      <c r="N81" s="453">
        <v>0</v>
      </c>
      <c r="O81" s="453"/>
      <c r="P81" s="453"/>
      <c r="Q81" s="453">
        <v>216.67</v>
      </c>
      <c r="R81" s="453"/>
      <c r="S81" s="453"/>
      <c r="T81" s="453">
        <v>0</v>
      </c>
      <c r="U81" s="453"/>
      <c r="V81" s="453"/>
      <c r="W81" s="453"/>
      <c r="X81" s="313" t="e">
        <v>#DIV/0!</v>
      </c>
      <c r="Y81" s="486">
        <v>26</v>
      </c>
      <c r="Z81" s="409">
        <v>22</v>
      </c>
      <c r="AA81" s="410">
        <v>171.75</v>
      </c>
      <c r="AB81" s="410"/>
      <c r="AC81" s="460"/>
      <c r="AD81" s="408"/>
      <c r="AE81" s="411" t="s">
        <v>1939</v>
      </c>
      <c r="AF81" s="452"/>
      <c r="AG81" s="405">
        <v>43101</v>
      </c>
      <c r="AH81" s="408"/>
      <c r="AI81" s="408"/>
      <c r="AJ81" s="400">
        <v>43109</v>
      </c>
      <c r="AK81" s="408"/>
      <c r="AL81" s="396" t="s">
        <v>911</v>
      </c>
      <c r="AM81" s="408"/>
      <c r="AN81" s="408"/>
      <c r="AO81" s="456">
        <v>4465.5</v>
      </c>
      <c r="AP81" s="452">
        <v>556633</v>
      </c>
      <c r="AQ81" s="406" t="s">
        <v>1785</v>
      </c>
      <c r="AR81" s="408">
        <v>0.5</v>
      </c>
      <c r="AS81" s="408"/>
      <c r="AT81" s="414"/>
      <c r="AU81" s="408"/>
      <c r="AV81" s="408"/>
      <c r="AW81" s="408"/>
      <c r="AX81" s="408"/>
      <c r="AY81" t="s">
        <v>1720</v>
      </c>
      <c r="AZ81" s="408"/>
      <c r="BA81" s="408"/>
      <c r="BB81" t="s">
        <v>1726</v>
      </c>
      <c r="BC81" s="456">
        <v>1</v>
      </c>
      <c r="BD81" s="408"/>
      <c r="BE81" s="487"/>
      <c r="BF81" s="488"/>
      <c r="BG81" s="395"/>
      <c r="BH81" s="486">
        <v>0</v>
      </c>
      <c r="BI81" s="460"/>
      <c r="BJ81" s="460">
        <v>8</v>
      </c>
      <c r="BK81" s="486" t="s">
        <v>1940</v>
      </c>
      <c r="BL81" s="411" t="s">
        <v>2703</v>
      </c>
      <c r="BM81" s="486">
        <v>1</v>
      </c>
      <c r="BN81" s="407"/>
      <c r="BO81" s="407"/>
      <c r="BP81" s="407"/>
      <c r="BQ81" s="407" t="s">
        <v>1783</v>
      </c>
      <c r="BR81" s="407">
        <v>5</v>
      </c>
      <c r="BS81" s="419"/>
      <c r="BT81" s="445"/>
      <c r="BU81" s="445"/>
      <c r="BV81" s="445"/>
      <c r="BW81" s="445"/>
      <c r="BX81" s="445"/>
      <c r="BY81" s="445"/>
    </row>
    <row r="82" spans="1:77" ht="15">
      <c r="A82" t="s">
        <v>1783</v>
      </c>
      <c r="B82" s="398" t="s">
        <v>132</v>
      </c>
      <c r="C82" s="399" t="s">
        <v>1784</v>
      </c>
      <c r="D82" s="453">
        <v>0</v>
      </c>
      <c r="E82" s="398" t="s">
        <v>1716</v>
      </c>
      <c r="F82" s="453"/>
      <c r="G82" s="398" t="s">
        <v>1750</v>
      </c>
      <c r="H82" s="453">
        <v>28</v>
      </c>
      <c r="I82" s="371" t="s">
        <v>1789</v>
      </c>
      <c r="J82" s="453">
        <v>0.3</v>
      </c>
      <c r="K82" s="453"/>
      <c r="L82" s="453"/>
      <c r="M82" s="453"/>
      <c r="N82" s="453">
        <v>0</v>
      </c>
      <c r="O82" s="453"/>
      <c r="P82" s="453"/>
      <c r="Q82" s="453">
        <v>58.33</v>
      </c>
      <c r="R82" s="453"/>
      <c r="S82" s="453"/>
      <c r="T82" s="453">
        <v>0</v>
      </c>
      <c r="U82" s="453"/>
      <c r="V82" s="453"/>
      <c r="W82" s="453"/>
      <c r="X82" s="313" t="e">
        <v>#DIV/0!</v>
      </c>
      <c r="Y82" s="486">
        <v>7</v>
      </c>
      <c r="Z82" s="409">
        <v>23</v>
      </c>
      <c r="AA82" s="410">
        <v>171.78</v>
      </c>
      <c r="AB82" s="410"/>
      <c r="AC82" s="460"/>
      <c r="AD82" s="408"/>
      <c r="AE82" s="411" t="s">
        <v>1941</v>
      </c>
      <c r="AF82" s="452"/>
      <c r="AG82" s="405">
        <v>43101</v>
      </c>
      <c r="AH82" s="408"/>
      <c r="AI82" s="408"/>
      <c r="AJ82" s="400">
        <v>43109</v>
      </c>
      <c r="AK82" s="408"/>
      <c r="AL82" s="396" t="s">
        <v>911</v>
      </c>
      <c r="AM82" s="408"/>
      <c r="AN82" s="408"/>
      <c r="AO82" s="456">
        <v>1202.46</v>
      </c>
      <c r="AP82" s="452">
        <v>556633</v>
      </c>
      <c r="AQ82" s="406" t="s">
        <v>1785</v>
      </c>
      <c r="AR82" s="408">
        <v>0.5</v>
      </c>
      <c r="AS82" s="408"/>
      <c r="AT82" s="408"/>
      <c r="AU82" s="408"/>
      <c r="AV82" s="408"/>
      <c r="AW82" s="408"/>
      <c r="AX82" s="408"/>
      <c r="AY82" t="s">
        <v>1720</v>
      </c>
      <c r="AZ82" s="408"/>
      <c r="BA82" s="408"/>
      <c r="BB82" t="s">
        <v>1726</v>
      </c>
      <c r="BC82" s="456">
        <v>1</v>
      </c>
      <c r="BD82" s="408"/>
      <c r="BE82" s="487"/>
      <c r="BF82" s="488"/>
      <c r="BG82" s="395"/>
      <c r="BH82" s="486">
        <v>0</v>
      </c>
      <c r="BI82" s="460"/>
      <c r="BJ82" s="460">
        <v>9</v>
      </c>
      <c r="BK82" s="486" t="s">
        <v>1942</v>
      </c>
      <c r="BL82" s="411" t="s">
        <v>2704</v>
      </c>
      <c r="BM82" s="486">
        <v>1</v>
      </c>
      <c r="BN82" s="407"/>
      <c r="BO82" s="407"/>
      <c r="BP82" s="407"/>
      <c r="BQ82" s="407" t="s">
        <v>1783</v>
      </c>
      <c r="BR82" s="407">
        <v>5</v>
      </c>
      <c r="BS82" s="419"/>
      <c r="BT82" s="445"/>
      <c r="BU82" s="445"/>
      <c r="BV82" s="445"/>
      <c r="BW82" s="445"/>
      <c r="BX82" s="445"/>
      <c r="BY82" s="445"/>
    </row>
    <row r="83" spans="1:77" ht="15">
      <c r="A83" t="s">
        <v>1783</v>
      </c>
      <c r="B83" s="398" t="s">
        <v>296</v>
      </c>
      <c r="C83" s="399" t="s">
        <v>1784</v>
      </c>
      <c r="D83" s="453">
        <v>0</v>
      </c>
      <c r="E83" s="398" t="s">
        <v>1716</v>
      </c>
      <c r="F83" s="453"/>
      <c r="G83" s="398" t="s">
        <v>1750</v>
      </c>
      <c r="H83" s="453">
        <v>98</v>
      </c>
      <c r="I83" s="371" t="s">
        <v>1664</v>
      </c>
      <c r="J83" s="453">
        <v>3.7</v>
      </c>
      <c r="K83" s="453"/>
      <c r="L83" s="453"/>
      <c r="M83" s="453"/>
      <c r="N83" s="453">
        <v>0</v>
      </c>
      <c r="O83" s="453"/>
      <c r="P83" s="453"/>
      <c r="Q83" s="453">
        <v>450</v>
      </c>
      <c r="R83" s="453"/>
      <c r="S83" s="453"/>
      <c r="T83" s="453">
        <v>145</v>
      </c>
      <c r="U83" s="453"/>
      <c r="V83" s="453"/>
      <c r="W83" s="453">
        <v>0</v>
      </c>
      <c r="X83" s="313" t="e">
        <v>#DIV/0!</v>
      </c>
      <c r="Y83" s="486">
        <v>83</v>
      </c>
      <c r="Z83" s="409">
        <v>22</v>
      </c>
      <c r="AA83" s="410">
        <v>146.19</v>
      </c>
      <c r="AB83" s="410"/>
      <c r="AC83" s="460"/>
      <c r="AD83" s="408"/>
      <c r="AE83" s="411" t="s">
        <v>1943</v>
      </c>
      <c r="AF83" s="452"/>
      <c r="AG83" s="405">
        <v>43101</v>
      </c>
      <c r="AH83" s="408"/>
      <c r="AI83" s="408"/>
      <c r="AJ83" s="400">
        <v>43109</v>
      </c>
      <c r="AK83" s="408"/>
      <c r="AL83" s="396" t="s">
        <v>1027</v>
      </c>
      <c r="AM83" s="408"/>
      <c r="AN83" s="408"/>
      <c r="AO83" s="456">
        <v>12133.77</v>
      </c>
      <c r="AP83" s="452">
        <v>556627</v>
      </c>
      <c r="AQ83" s="406" t="s">
        <v>1785</v>
      </c>
      <c r="AR83" s="408">
        <v>0.5</v>
      </c>
      <c r="AS83" s="408"/>
      <c r="AT83" s="408"/>
      <c r="AU83" s="408"/>
      <c r="AV83" s="408"/>
      <c r="AW83" s="408"/>
      <c r="AX83" s="408"/>
      <c r="AY83" t="s">
        <v>1722</v>
      </c>
      <c r="AZ83" s="408"/>
      <c r="BA83" s="408"/>
      <c r="BB83" t="s">
        <v>1728</v>
      </c>
      <c r="BC83" s="456">
        <v>1</v>
      </c>
      <c r="BD83" s="408"/>
      <c r="BE83" s="487"/>
      <c r="BF83" s="488"/>
      <c r="BG83" s="395"/>
      <c r="BH83" s="486">
        <v>0</v>
      </c>
      <c r="BI83" s="460"/>
      <c r="BJ83" s="460">
        <v>7</v>
      </c>
      <c r="BK83" s="486" t="s">
        <v>1944</v>
      </c>
      <c r="BL83" s="411" t="s">
        <v>2705</v>
      </c>
      <c r="BM83" s="486">
        <v>1</v>
      </c>
      <c r="BN83" s="407"/>
      <c r="BO83" s="407"/>
      <c r="BP83" s="407"/>
      <c r="BQ83" s="407" t="s">
        <v>1783</v>
      </c>
      <c r="BR83" s="407">
        <v>5</v>
      </c>
      <c r="BS83" s="419"/>
      <c r="BT83" s="445"/>
      <c r="BU83" s="445"/>
      <c r="BV83" s="445"/>
      <c r="BW83" s="445"/>
      <c r="BX83" s="445"/>
      <c r="BY83" s="445"/>
    </row>
    <row r="84" spans="1:77" ht="15">
      <c r="A84" t="s">
        <v>1783</v>
      </c>
      <c r="B84" s="398" t="s">
        <v>296</v>
      </c>
      <c r="C84" s="399" t="s">
        <v>1784</v>
      </c>
      <c r="D84" s="453">
        <v>0</v>
      </c>
      <c r="E84" s="398" t="s">
        <v>1716</v>
      </c>
      <c r="F84" s="453"/>
      <c r="G84" s="398" t="s">
        <v>1750</v>
      </c>
      <c r="H84" s="453">
        <v>8</v>
      </c>
      <c r="I84" s="371" t="s">
        <v>1769</v>
      </c>
      <c r="J84" s="453">
        <v>0.5</v>
      </c>
      <c r="K84" s="453"/>
      <c r="L84" s="453"/>
      <c r="M84" s="453"/>
      <c r="N84" s="453">
        <v>10</v>
      </c>
      <c r="O84" s="453"/>
      <c r="P84" s="453"/>
      <c r="Q84" s="453">
        <v>16.670000000000002</v>
      </c>
      <c r="R84" s="453"/>
      <c r="S84" s="453"/>
      <c r="T84" s="453">
        <v>50</v>
      </c>
      <c r="U84" s="453"/>
      <c r="V84" s="453"/>
      <c r="W84" s="453">
        <v>0</v>
      </c>
      <c r="X84" s="313" t="e">
        <v>#DIV/0!</v>
      </c>
      <c r="Y84" s="486">
        <v>13</v>
      </c>
      <c r="Z84" s="409">
        <v>26</v>
      </c>
      <c r="AA84" s="410">
        <v>124.32</v>
      </c>
      <c r="AB84" s="410"/>
      <c r="AC84" s="460"/>
      <c r="AD84" s="408"/>
      <c r="AE84" s="411" t="s">
        <v>1945</v>
      </c>
      <c r="AF84" s="452"/>
      <c r="AG84" s="405">
        <v>43101</v>
      </c>
      <c r="AH84" s="408"/>
      <c r="AI84" s="408"/>
      <c r="AJ84" s="400">
        <v>43109</v>
      </c>
      <c r="AK84" s="408"/>
      <c r="AL84" s="396" t="s">
        <v>1024</v>
      </c>
      <c r="AM84" s="408"/>
      <c r="AN84" s="408"/>
      <c r="AO84" s="456">
        <v>1616.16</v>
      </c>
      <c r="AP84" s="452">
        <v>556627</v>
      </c>
      <c r="AQ84" s="406" t="s">
        <v>1785</v>
      </c>
      <c r="AR84" s="408">
        <v>0.5</v>
      </c>
      <c r="AS84" s="408"/>
      <c r="AT84" s="408"/>
      <c r="AU84" s="408"/>
      <c r="AV84" s="408"/>
      <c r="AW84" s="408"/>
      <c r="AX84" s="408"/>
      <c r="AY84" t="s">
        <v>1722</v>
      </c>
      <c r="AZ84" s="408"/>
      <c r="BA84" s="408"/>
      <c r="BB84" t="s">
        <v>1728</v>
      </c>
      <c r="BC84" s="456">
        <v>1</v>
      </c>
      <c r="BD84" s="408"/>
      <c r="BE84" s="487"/>
      <c r="BF84" s="488"/>
      <c r="BG84" s="395"/>
      <c r="BH84" s="486">
        <v>0</v>
      </c>
      <c r="BI84" s="460"/>
      <c r="BJ84" s="460">
        <v>8</v>
      </c>
      <c r="BK84" s="486" t="s">
        <v>1946</v>
      </c>
      <c r="BL84" s="411" t="s">
        <v>2706</v>
      </c>
      <c r="BM84" s="486">
        <v>1</v>
      </c>
      <c r="BN84" s="407"/>
      <c r="BO84" s="407"/>
      <c r="BP84" s="407"/>
      <c r="BQ84" s="407" t="s">
        <v>1783</v>
      </c>
      <c r="BR84" s="407">
        <v>5</v>
      </c>
      <c r="BS84" s="419"/>
      <c r="BT84" s="445"/>
      <c r="BU84" s="445"/>
      <c r="BV84" s="445"/>
      <c r="BW84" s="445"/>
      <c r="BX84" s="445"/>
      <c r="BY84" s="445"/>
    </row>
    <row r="85" spans="1:77" ht="15">
      <c r="A85" t="s">
        <v>1783</v>
      </c>
      <c r="B85" s="398" t="s">
        <v>296</v>
      </c>
      <c r="C85" s="399" t="s">
        <v>1784</v>
      </c>
      <c r="D85" s="453">
        <v>0</v>
      </c>
      <c r="E85" s="398" t="s">
        <v>1716</v>
      </c>
      <c r="F85" s="453"/>
      <c r="G85" s="398" t="s">
        <v>1750</v>
      </c>
      <c r="H85" s="453">
        <v>8</v>
      </c>
      <c r="I85" s="371" t="s">
        <v>1684</v>
      </c>
      <c r="J85" s="453">
        <v>1</v>
      </c>
      <c r="K85" s="453"/>
      <c r="L85" s="453"/>
      <c r="M85" s="453"/>
      <c r="N85" s="453">
        <v>20</v>
      </c>
      <c r="O85" s="453"/>
      <c r="P85" s="453"/>
      <c r="Q85" s="453">
        <v>108.33</v>
      </c>
      <c r="R85" s="453"/>
      <c r="S85" s="453"/>
      <c r="T85" s="453">
        <v>70</v>
      </c>
      <c r="U85" s="453"/>
      <c r="V85" s="453"/>
      <c r="W85" s="453">
        <v>0</v>
      </c>
      <c r="X85" s="313" t="e">
        <v>#DIV/0!</v>
      </c>
      <c r="Y85" s="486">
        <v>29</v>
      </c>
      <c r="Z85" s="409">
        <v>29</v>
      </c>
      <c r="AA85" s="410">
        <v>144.33000000000001</v>
      </c>
      <c r="AB85" s="410"/>
      <c r="AC85" s="460"/>
      <c r="AD85" s="408"/>
      <c r="AE85" s="411" t="s">
        <v>1947</v>
      </c>
      <c r="AF85" s="452"/>
      <c r="AG85" s="405">
        <v>43101</v>
      </c>
      <c r="AH85" s="408"/>
      <c r="AI85" s="408"/>
      <c r="AJ85" s="400">
        <v>43109</v>
      </c>
      <c r="AK85" s="408"/>
      <c r="AL85" s="396" t="s">
        <v>1024</v>
      </c>
      <c r="AM85" s="408"/>
      <c r="AN85" s="408"/>
      <c r="AO85" s="456">
        <v>4185.57</v>
      </c>
      <c r="AP85" s="452">
        <v>556627</v>
      </c>
      <c r="AQ85" s="406" t="s">
        <v>1785</v>
      </c>
      <c r="AR85" s="408">
        <v>0.5</v>
      </c>
      <c r="AS85" s="408"/>
      <c r="AT85" s="408"/>
      <c r="AU85" s="408"/>
      <c r="AV85" s="408"/>
      <c r="AW85" s="408"/>
      <c r="AX85" s="408"/>
      <c r="AY85" t="s">
        <v>1722</v>
      </c>
      <c r="AZ85" s="408"/>
      <c r="BA85" s="408"/>
      <c r="BB85" t="s">
        <v>1728</v>
      </c>
      <c r="BC85" s="456">
        <v>1</v>
      </c>
      <c r="BD85" s="408"/>
      <c r="BE85" s="487"/>
      <c r="BF85" s="488"/>
      <c r="BG85" s="395"/>
      <c r="BH85" s="486">
        <v>0</v>
      </c>
      <c r="BI85" s="460"/>
      <c r="BJ85" s="460">
        <v>9</v>
      </c>
      <c r="BK85" s="486" t="s">
        <v>1948</v>
      </c>
      <c r="BL85" s="411" t="s">
        <v>2707</v>
      </c>
      <c r="BM85" s="486">
        <v>1</v>
      </c>
      <c r="BN85" s="407"/>
      <c r="BO85" s="407"/>
      <c r="BP85" s="407"/>
      <c r="BQ85" s="407" t="s">
        <v>1783</v>
      </c>
      <c r="BR85" s="407">
        <v>5</v>
      </c>
      <c r="BS85" s="419"/>
      <c r="BT85" s="445"/>
      <c r="BU85" s="445"/>
      <c r="BV85" s="445"/>
      <c r="BW85" s="445"/>
      <c r="BX85" s="445"/>
      <c r="BY85" s="445"/>
    </row>
    <row r="86" spans="1:77" ht="15">
      <c r="A86" t="s">
        <v>1783</v>
      </c>
      <c r="B86" s="398" t="s">
        <v>296</v>
      </c>
      <c r="C86" s="399" t="s">
        <v>1784</v>
      </c>
      <c r="D86" s="453">
        <v>0</v>
      </c>
      <c r="E86" s="398" t="s">
        <v>1716</v>
      </c>
      <c r="F86" s="453"/>
      <c r="G86" s="398" t="s">
        <v>1750</v>
      </c>
      <c r="H86" s="453">
        <v>31</v>
      </c>
      <c r="I86" s="371" t="s">
        <v>1687</v>
      </c>
      <c r="J86" s="453">
        <v>2.1</v>
      </c>
      <c r="K86" s="453"/>
      <c r="L86" s="453"/>
      <c r="M86" s="453"/>
      <c r="N86" s="453">
        <v>0</v>
      </c>
      <c r="O86" s="453"/>
      <c r="P86" s="453"/>
      <c r="Q86" s="453">
        <v>45.83</v>
      </c>
      <c r="R86" s="453"/>
      <c r="S86" s="453"/>
      <c r="T86" s="453">
        <v>112.5</v>
      </c>
      <c r="U86" s="453"/>
      <c r="V86" s="453"/>
      <c r="W86" s="453">
        <v>0</v>
      </c>
      <c r="X86" s="313" t="e">
        <v>#DIV/0!</v>
      </c>
      <c r="Y86" s="486">
        <v>28</v>
      </c>
      <c r="Z86" s="409">
        <v>13</v>
      </c>
      <c r="AA86" s="410">
        <v>130.66</v>
      </c>
      <c r="AB86" s="410"/>
      <c r="AC86" s="460"/>
      <c r="AD86" s="408"/>
      <c r="AE86" s="411" t="s">
        <v>1949</v>
      </c>
      <c r="AF86" s="452"/>
      <c r="AG86" s="405">
        <v>43101</v>
      </c>
      <c r="AH86" s="408"/>
      <c r="AI86" s="408"/>
      <c r="AJ86" s="400">
        <v>43109</v>
      </c>
      <c r="AK86" s="408"/>
      <c r="AL86" s="396" t="s">
        <v>1026</v>
      </c>
      <c r="AM86" s="408"/>
      <c r="AN86" s="408"/>
      <c r="AO86" s="456">
        <v>3658.48</v>
      </c>
      <c r="AP86" s="452">
        <v>556627</v>
      </c>
      <c r="AQ86" s="406" t="s">
        <v>1785</v>
      </c>
      <c r="AR86" s="408">
        <v>0.5</v>
      </c>
      <c r="AS86" s="408"/>
      <c r="AT86" s="408"/>
      <c r="AU86" s="408"/>
      <c r="AV86" s="408"/>
      <c r="AW86" s="408"/>
      <c r="AX86" s="408"/>
      <c r="AY86" t="s">
        <v>1722</v>
      </c>
      <c r="AZ86" s="408"/>
      <c r="BA86" s="408"/>
      <c r="BB86" t="s">
        <v>1728</v>
      </c>
      <c r="BC86" s="456">
        <v>1</v>
      </c>
      <c r="BD86" s="408"/>
      <c r="BE86" s="487"/>
      <c r="BF86" s="488"/>
      <c r="BG86" s="395"/>
      <c r="BH86" s="486">
        <v>0</v>
      </c>
      <c r="BI86" s="460"/>
      <c r="BJ86" s="460">
        <v>10</v>
      </c>
      <c r="BK86" s="486" t="s">
        <v>166</v>
      </c>
      <c r="BL86" s="411" t="s">
        <v>2708</v>
      </c>
      <c r="BM86" s="486">
        <v>1</v>
      </c>
      <c r="BN86" s="407"/>
      <c r="BO86" s="407"/>
      <c r="BP86" s="407"/>
      <c r="BQ86" s="407" t="s">
        <v>1783</v>
      </c>
      <c r="BR86" s="407">
        <v>5</v>
      </c>
      <c r="BS86" s="419"/>
      <c r="BT86" s="445"/>
      <c r="BU86" s="445"/>
      <c r="BV86" s="445"/>
      <c r="BW86" s="445"/>
      <c r="BX86" s="445"/>
      <c r="BY86" s="445"/>
    </row>
    <row r="87" spans="1:77" ht="15">
      <c r="A87" t="s">
        <v>1269</v>
      </c>
      <c r="B87" s="398" t="s">
        <v>85</v>
      </c>
      <c r="C87" s="399" t="s">
        <v>1682</v>
      </c>
      <c r="D87" s="453">
        <v>0</v>
      </c>
      <c r="E87" s="398" t="s">
        <v>1749</v>
      </c>
      <c r="F87" s="453">
        <v>3</v>
      </c>
      <c r="G87" s="398" t="s">
        <v>1750</v>
      </c>
      <c r="H87" s="453">
        <v>106</v>
      </c>
      <c r="I87" s="371" t="s">
        <v>1686</v>
      </c>
      <c r="J87" s="453">
        <v>3.9</v>
      </c>
      <c r="K87" s="453">
        <v>450</v>
      </c>
      <c r="L87" s="453"/>
      <c r="M87" s="453">
        <v>11</v>
      </c>
      <c r="N87" s="453"/>
      <c r="O87" s="453"/>
      <c r="P87" s="453"/>
      <c r="Q87" s="453"/>
      <c r="R87" s="453"/>
      <c r="S87" s="453">
        <v>100</v>
      </c>
      <c r="T87" s="453">
        <v>0</v>
      </c>
      <c r="U87" s="453"/>
      <c r="V87" s="453">
        <v>54</v>
      </c>
      <c r="W87" s="453">
        <v>0</v>
      </c>
      <c r="X87" s="313">
        <v>0.37</v>
      </c>
      <c r="Y87" s="486">
        <v>165</v>
      </c>
      <c r="Z87" s="409">
        <v>48</v>
      </c>
      <c r="AA87" s="410">
        <v>297.07</v>
      </c>
      <c r="AB87" s="410"/>
      <c r="AC87" s="460">
        <v>23</v>
      </c>
      <c r="AD87" s="408"/>
      <c r="AE87" s="411" t="s">
        <v>1824</v>
      </c>
      <c r="AF87" s="452">
        <v>1</v>
      </c>
      <c r="AG87" s="405">
        <v>43101</v>
      </c>
      <c r="AH87" s="408"/>
      <c r="AI87" s="408"/>
      <c r="AJ87" s="400">
        <v>43109</v>
      </c>
      <c r="AK87" s="408"/>
      <c r="AL87" s="396" t="s">
        <v>1713</v>
      </c>
      <c r="AM87" s="408"/>
      <c r="AN87" s="408"/>
      <c r="AO87" s="456">
        <v>49016.55</v>
      </c>
      <c r="AP87" s="452">
        <v>556642</v>
      </c>
      <c r="AQ87" s="406">
        <v>43105</v>
      </c>
      <c r="AR87" s="408"/>
      <c r="AS87" s="408"/>
      <c r="AT87" s="408"/>
      <c r="AU87" s="408"/>
      <c r="AV87" s="408"/>
      <c r="AW87" s="408"/>
      <c r="AX87" s="408"/>
      <c r="AY87" t="s">
        <v>1720</v>
      </c>
      <c r="AZ87" s="408"/>
      <c r="BA87" s="408"/>
      <c r="BB87" t="s">
        <v>1726</v>
      </c>
      <c r="BC87" s="456">
        <v>1</v>
      </c>
      <c r="BD87" s="408"/>
      <c r="BE87" s="487"/>
      <c r="BF87" s="488"/>
      <c r="BG87" s="395"/>
      <c r="BH87" s="486">
        <v>1</v>
      </c>
      <c r="BI87" s="460"/>
      <c r="BJ87" s="460">
        <v>7</v>
      </c>
      <c r="BK87" s="486" t="s">
        <v>1825</v>
      </c>
      <c r="BL87" s="411" t="s">
        <v>2641</v>
      </c>
      <c r="BM87" s="486">
        <v>1</v>
      </c>
      <c r="BN87" s="407"/>
      <c r="BO87" s="407"/>
      <c r="BP87" s="407"/>
      <c r="BQ87" s="407" t="s">
        <v>1269</v>
      </c>
      <c r="BR87" s="407"/>
      <c r="BS87" s="419"/>
      <c r="BT87" s="445"/>
      <c r="BU87" s="445"/>
      <c r="BV87" s="445"/>
      <c r="BW87" s="445"/>
      <c r="BX87" s="445"/>
      <c r="BY87" s="445"/>
    </row>
    <row r="88" spans="1:77" ht="15">
      <c r="A88" t="s">
        <v>1783</v>
      </c>
      <c r="B88" s="398" t="s">
        <v>19</v>
      </c>
      <c r="C88" s="399" t="s">
        <v>1784</v>
      </c>
      <c r="D88" s="453">
        <v>0</v>
      </c>
      <c r="E88" s="398" t="s">
        <v>1716</v>
      </c>
      <c r="F88" s="453"/>
      <c r="G88" s="398" t="s">
        <v>1750</v>
      </c>
      <c r="H88" s="453">
        <v>58</v>
      </c>
      <c r="I88" s="371" t="s">
        <v>1683</v>
      </c>
      <c r="J88" s="453">
        <v>1.6</v>
      </c>
      <c r="K88" s="453"/>
      <c r="L88" s="453"/>
      <c r="M88" s="453"/>
      <c r="N88" s="453">
        <v>0</v>
      </c>
      <c r="O88" s="453"/>
      <c r="P88" s="453"/>
      <c r="Q88" s="453">
        <v>300</v>
      </c>
      <c r="R88" s="453"/>
      <c r="S88" s="453"/>
      <c r="T88" s="453">
        <v>0</v>
      </c>
      <c r="U88" s="453"/>
      <c r="V88" s="453"/>
      <c r="W88" s="453">
        <v>0</v>
      </c>
      <c r="X88" s="313" t="e">
        <v>#DIV/0!</v>
      </c>
      <c r="Y88" s="486">
        <v>36</v>
      </c>
      <c r="Z88" s="409">
        <v>23</v>
      </c>
      <c r="AA88" s="410">
        <v>175.66</v>
      </c>
      <c r="AB88" s="410"/>
      <c r="AC88" s="460"/>
      <c r="AD88" s="408"/>
      <c r="AE88" s="411" t="s">
        <v>1950</v>
      </c>
      <c r="AF88" s="452"/>
      <c r="AG88" s="405">
        <v>43101</v>
      </c>
      <c r="AH88" s="408"/>
      <c r="AI88" s="408"/>
      <c r="AJ88" s="400">
        <v>43109</v>
      </c>
      <c r="AK88" s="408"/>
      <c r="AL88" s="396" t="s">
        <v>1037</v>
      </c>
      <c r="AM88" s="408"/>
      <c r="AN88" s="408"/>
      <c r="AO88" s="456">
        <v>6323.76</v>
      </c>
      <c r="AP88" s="452">
        <v>556639</v>
      </c>
      <c r="AQ88" s="406" t="s">
        <v>1785</v>
      </c>
      <c r="AR88" s="408">
        <v>0.5</v>
      </c>
      <c r="AS88" s="408"/>
      <c r="AT88" s="408"/>
      <c r="AU88" s="408"/>
      <c r="AV88" s="408"/>
      <c r="AW88" s="408"/>
      <c r="AX88" s="408"/>
      <c r="AY88" t="s">
        <v>1720</v>
      </c>
      <c r="AZ88" s="408"/>
      <c r="BA88" s="408"/>
      <c r="BB88" t="s">
        <v>1726</v>
      </c>
      <c r="BC88" s="456">
        <v>1</v>
      </c>
      <c r="BD88" s="408"/>
      <c r="BE88" s="487"/>
      <c r="BF88" s="488"/>
      <c r="BG88" s="395"/>
      <c r="BH88" s="486">
        <v>0</v>
      </c>
      <c r="BI88" s="460"/>
      <c r="BJ88" s="460">
        <v>23</v>
      </c>
      <c r="BK88" s="486" t="s">
        <v>252</v>
      </c>
      <c r="BL88" s="411" t="s">
        <v>2709</v>
      </c>
      <c r="BM88" s="486">
        <v>1</v>
      </c>
      <c r="BN88" s="407"/>
      <c r="BO88" s="407"/>
      <c r="BP88" s="407"/>
      <c r="BQ88" s="407" t="s">
        <v>1783</v>
      </c>
      <c r="BR88" s="407">
        <v>2</v>
      </c>
      <c r="BS88" s="419"/>
      <c r="BT88" s="445"/>
      <c r="BU88" s="445"/>
      <c r="BV88" s="445"/>
      <c r="BW88" s="445"/>
      <c r="BX88" s="445"/>
      <c r="BY88" s="445"/>
    </row>
    <row r="89" spans="1:77" ht="15">
      <c r="A89" t="s">
        <v>1783</v>
      </c>
      <c r="B89" s="398" t="s">
        <v>19</v>
      </c>
      <c r="C89" s="399" t="s">
        <v>1784</v>
      </c>
      <c r="D89" s="453">
        <v>0</v>
      </c>
      <c r="E89" s="398" t="s">
        <v>1716</v>
      </c>
      <c r="F89" s="453"/>
      <c r="G89" s="398" t="s">
        <v>1750</v>
      </c>
      <c r="H89" s="453">
        <v>19</v>
      </c>
      <c r="I89" s="371" t="s">
        <v>1685</v>
      </c>
      <c r="J89" s="453">
        <v>1.2</v>
      </c>
      <c r="K89" s="453"/>
      <c r="L89" s="453"/>
      <c r="M89" s="453"/>
      <c r="N89" s="453">
        <v>120</v>
      </c>
      <c r="O89" s="453"/>
      <c r="P89" s="453"/>
      <c r="Q89" s="453">
        <v>0</v>
      </c>
      <c r="R89" s="453"/>
      <c r="S89" s="453"/>
      <c r="T89" s="453">
        <v>0</v>
      </c>
      <c r="U89" s="453"/>
      <c r="V89" s="453"/>
      <c r="W89" s="453">
        <v>0</v>
      </c>
      <c r="X89" s="313" t="e">
        <v>#DIV/0!</v>
      </c>
      <c r="Y89" s="486">
        <v>12</v>
      </c>
      <c r="Z89" s="409">
        <v>10</v>
      </c>
      <c r="AA89" s="410">
        <v>185.65</v>
      </c>
      <c r="AB89" s="410"/>
      <c r="AC89" s="460"/>
      <c r="AD89" s="408"/>
      <c r="AE89" s="411" t="s">
        <v>1951</v>
      </c>
      <c r="AF89" s="452"/>
      <c r="AG89" s="405">
        <v>43101</v>
      </c>
      <c r="AH89" s="408"/>
      <c r="AI89" s="408"/>
      <c r="AJ89" s="400">
        <v>43109</v>
      </c>
      <c r="AK89" s="408"/>
      <c r="AL89" s="396" t="s">
        <v>999</v>
      </c>
      <c r="AM89" s="408"/>
      <c r="AN89" s="408"/>
      <c r="AO89" s="456">
        <v>2227.8000000000002</v>
      </c>
      <c r="AP89" s="452">
        <v>556639</v>
      </c>
      <c r="AQ89" s="406" t="s">
        <v>1785</v>
      </c>
      <c r="AR89" s="408">
        <v>0.3</v>
      </c>
      <c r="AS89" s="408"/>
      <c r="AT89" s="414"/>
      <c r="AU89" s="408"/>
      <c r="AV89" s="408"/>
      <c r="AW89" s="408"/>
      <c r="AX89" s="408"/>
      <c r="AY89" t="s">
        <v>1720</v>
      </c>
      <c r="AZ89" s="408"/>
      <c r="BA89" s="408"/>
      <c r="BB89" t="s">
        <v>1726</v>
      </c>
      <c r="BC89" s="456">
        <v>1</v>
      </c>
      <c r="BD89" s="408"/>
      <c r="BE89" s="487"/>
      <c r="BF89" s="488"/>
      <c r="BG89" s="395"/>
      <c r="BH89" s="486">
        <v>0</v>
      </c>
      <c r="BI89" s="460"/>
      <c r="BJ89" s="460">
        <v>24</v>
      </c>
      <c r="BK89" s="486" t="s">
        <v>1938</v>
      </c>
      <c r="BL89" s="411" t="s">
        <v>2710</v>
      </c>
      <c r="BM89" s="486">
        <v>1</v>
      </c>
      <c r="BN89" s="407"/>
      <c r="BO89" s="407"/>
      <c r="BP89" s="407"/>
      <c r="BQ89" s="407" t="s">
        <v>1783</v>
      </c>
      <c r="BR89" s="407">
        <v>2</v>
      </c>
      <c r="BS89" s="419"/>
      <c r="BT89" s="445"/>
      <c r="BU89" s="445"/>
      <c r="BV89" s="445"/>
      <c r="BW89" s="445"/>
      <c r="BX89" s="445"/>
      <c r="BY89" s="445"/>
    </row>
    <row r="90" spans="1:77" ht="15">
      <c r="A90" t="s">
        <v>1269</v>
      </c>
      <c r="B90" s="398" t="s">
        <v>296</v>
      </c>
      <c r="C90" s="399" t="s">
        <v>1682</v>
      </c>
      <c r="D90" s="453">
        <v>0</v>
      </c>
      <c r="E90" s="398" t="s">
        <v>1749</v>
      </c>
      <c r="F90" s="453">
        <v>3</v>
      </c>
      <c r="G90" s="398" t="s">
        <v>1750</v>
      </c>
      <c r="H90" s="453">
        <v>98</v>
      </c>
      <c r="I90" s="371" t="s">
        <v>1632</v>
      </c>
      <c r="J90" s="453">
        <v>4.2</v>
      </c>
      <c r="K90" s="453">
        <v>281</v>
      </c>
      <c r="L90" s="453"/>
      <c r="M90" s="453">
        <v>0</v>
      </c>
      <c r="N90" s="453">
        <v>0</v>
      </c>
      <c r="O90" s="453"/>
      <c r="P90" s="453"/>
      <c r="Q90" s="453"/>
      <c r="R90" s="453"/>
      <c r="S90" s="453"/>
      <c r="T90" s="453">
        <v>0</v>
      </c>
      <c r="U90" s="453">
        <v>62</v>
      </c>
      <c r="V90" s="453">
        <v>5</v>
      </c>
      <c r="W90" s="453">
        <v>13</v>
      </c>
      <c r="X90" s="313">
        <v>0.28000000000000003</v>
      </c>
      <c r="Y90" s="486">
        <v>80</v>
      </c>
      <c r="Z90" s="409">
        <v>21</v>
      </c>
      <c r="AA90" s="410">
        <v>104.41800000000001</v>
      </c>
      <c r="AB90" s="410"/>
      <c r="AC90" s="460">
        <v>10</v>
      </c>
      <c r="AD90" s="408"/>
      <c r="AE90" s="411" t="s">
        <v>1952</v>
      </c>
      <c r="AF90" s="452">
        <v>1</v>
      </c>
      <c r="AG90" s="405">
        <v>43101</v>
      </c>
      <c r="AH90" s="408"/>
      <c r="AI90" s="408"/>
      <c r="AJ90" s="400">
        <v>43122</v>
      </c>
      <c r="AK90" s="408"/>
      <c r="AL90" s="396" t="s">
        <v>918</v>
      </c>
      <c r="AM90" s="408"/>
      <c r="AN90" s="408"/>
      <c r="AO90" s="456">
        <v>8353.44</v>
      </c>
      <c r="AP90" s="452">
        <v>556646</v>
      </c>
      <c r="AQ90" s="406">
        <v>43122</v>
      </c>
      <c r="AR90" s="408"/>
      <c r="AS90" s="408"/>
      <c r="AT90" s="414"/>
      <c r="AU90" s="408"/>
      <c r="AV90" s="408"/>
      <c r="AW90" s="408"/>
      <c r="AX90" s="408"/>
      <c r="AY90" t="s">
        <v>1722</v>
      </c>
      <c r="AZ90" s="408"/>
      <c r="BA90" s="408"/>
      <c r="BB90" t="s">
        <v>1728</v>
      </c>
      <c r="BC90" s="456">
        <v>1</v>
      </c>
      <c r="BD90" s="408"/>
      <c r="BE90" s="487"/>
      <c r="BF90" s="488"/>
      <c r="BG90" s="395"/>
      <c r="BH90" s="486">
        <v>1</v>
      </c>
      <c r="BI90" s="460"/>
      <c r="BJ90" s="460">
        <v>15</v>
      </c>
      <c r="BK90" s="486" t="s">
        <v>348</v>
      </c>
      <c r="BL90" s="411" t="s">
        <v>2711</v>
      </c>
      <c r="BM90" s="486">
        <v>1</v>
      </c>
      <c r="BN90" s="407"/>
      <c r="BO90" s="407"/>
      <c r="BP90" s="407"/>
      <c r="BQ90" s="407" t="s">
        <v>1269</v>
      </c>
      <c r="BR90" s="407"/>
      <c r="BS90" s="419"/>
      <c r="BT90" s="445"/>
      <c r="BU90" s="445"/>
      <c r="BV90" s="445"/>
      <c r="BW90" s="445"/>
      <c r="BX90" s="445"/>
      <c r="BY90" s="445"/>
    </row>
    <row r="91" spans="1:77" ht="15">
      <c r="A91" t="s">
        <v>1269</v>
      </c>
      <c r="B91" s="398" t="s">
        <v>296</v>
      </c>
      <c r="C91" s="399" t="s">
        <v>1682</v>
      </c>
      <c r="D91" s="453">
        <v>0</v>
      </c>
      <c r="E91" s="398" t="s">
        <v>1716</v>
      </c>
      <c r="F91" s="453">
        <v>3</v>
      </c>
      <c r="G91" s="398" t="s">
        <v>1750</v>
      </c>
      <c r="H91" s="453">
        <v>43</v>
      </c>
      <c r="I91" s="371" t="s">
        <v>1683</v>
      </c>
      <c r="J91" s="453">
        <v>16.399999999999999</v>
      </c>
      <c r="K91" s="453">
        <v>416</v>
      </c>
      <c r="L91" s="453"/>
      <c r="M91" s="453">
        <v>0</v>
      </c>
      <c r="N91" s="453">
        <v>10</v>
      </c>
      <c r="O91" s="453"/>
      <c r="P91" s="453"/>
      <c r="Q91" s="453"/>
      <c r="R91" s="453"/>
      <c r="S91" s="453">
        <v>0</v>
      </c>
      <c r="T91" s="453">
        <v>0</v>
      </c>
      <c r="U91" s="453">
        <v>52</v>
      </c>
      <c r="V91" s="453">
        <v>31</v>
      </c>
      <c r="W91" s="453">
        <v>90</v>
      </c>
      <c r="X91" s="313">
        <v>0.44</v>
      </c>
      <c r="Y91" s="486">
        <v>183</v>
      </c>
      <c r="Z91" s="409">
        <v>12</v>
      </c>
      <c r="AA91" s="410">
        <v>89.147000000000006</v>
      </c>
      <c r="AB91" s="410"/>
      <c r="AC91" s="460">
        <v>18</v>
      </c>
      <c r="AD91" s="408"/>
      <c r="AE91" s="411" t="s">
        <v>1953</v>
      </c>
      <c r="AF91" s="452">
        <v>1</v>
      </c>
      <c r="AG91" s="405">
        <v>43101</v>
      </c>
      <c r="AH91" s="408"/>
      <c r="AI91" s="408"/>
      <c r="AJ91" s="400">
        <v>43122</v>
      </c>
      <c r="AK91" s="408"/>
      <c r="AL91" s="396" t="s">
        <v>918</v>
      </c>
      <c r="AM91" s="408"/>
      <c r="AN91" s="408"/>
      <c r="AO91" s="456">
        <v>16313.901</v>
      </c>
      <c r="AP91" s="452">
        <v>556646</v>
      </c>
      <c r="AQ91" s="406">
        <v>43122</v>
      </c>
      <c r="AR91" s="408"/>
      <c r="AS91" s="408"/>
      <c r="AT91" s="414"/>
      <c r="AU91" s="408"/>
      <c r="AV91" s="408"/>
      <c r="AW91" s="408"/>
      <c r="AX91" s="408"/>
      <c r="AY91" t="s">
        <v>1722</v>
      </c>
      <c r="AZ91" s="408"/>
      <c r="BA91" s="408"/>
      <c r="BB91" t="s">
        <v>1728</v>
      </c>
      <c r="BC91" s="456">
        <v>1</v>
      </c>
      <c r="BD91" s="408"/>
      <c r="BE91" s="487"/>
      <c r="BF91" s="488"/>
      <c r="BG91" s="395"/>
      <c r="BH91" s="486">
        <v>1</v>
      </c>
      <c r="BI91" s="460"/>
      <c r="BJ91" s="460">
        <v>16</v>
      </c>
      <c r="BK91" s="486" t="s">
        <v>1954</v>
      </c>
      <c r="BL91" s="411" t="s">
        <v>2712</v>
      </c>
      <c r="BM91" s="486">
        <v>1</v>
      </c>
      <c r="BN91" s="407"/>
      <c r="BO91" s="407"/>
      <c r="BP91" s="407"/>
      <c r="BQ91" s="407" t="s">
        <v>1269</v>
      </c>
      <c r="BR91" s="407"/>
      <c r="BS91" s="419"/>
      <c r="BT91" s="445"/>
      <c r="BU91" s="445"/>
      <c r="BV91" s="445"/>
      <c r="BW91" s="445"/>
      <c r="BX91" s="445"/>
      <c r="BY91" s="445"/>
    </row>
    <row r="92" spans="1:77" ht="15">
      <c r="A92" s="370" t="s">
        <v>1269</v>
      </c>
      <c r="B92" s="415" t="s">
        <v>85</v>
      </c>
      <c r="C92" s="416" t="s">
        <v>1682</v>
      </c>
      <c r="D92" s="444">
        <v>0</v>
      </c>
      <c r="E92" s="415" t="s">
        <v>1749</v>
      </c>
      <c r="F92" s="444">
        <v>3</v>
      </c>
      <c r="G92" s="415" t="s">
        <v>1750</v>
      </c>
      <c r="H92" s="444">
        <v>106</v>
      </c>
      <c r="I92" s="417" t="s">
        <v>1686</v>
      </c>
      <c r="J92" s="444">
        <v>3.9</v>
      </c>
      <c r="K92" s="444">
        <v>450</v>
      </c>
      <c r="L92" s="444"/>
      <c r="M92" s="444">
        <v>11</v>
      </c>
      <c r="N92" s="444"/>
      <c r="O92" s="444"/>
      <c r="P92" s="444"/>
      <c r="Q92" s="444"/>
      <c r="R92" s="444"/>
      <c r="S92" s="444">
        <v>100</v>
      </c>
      <c r="T92" s="444">
        <v>0</v>
      </c>
      <c r="U92" s="444"/>
      <c r="V92" s="444">
        <v>54</v>
      </c>
      <c r="W92" s="444">
        <v>0</v>
      </c>
      <c r="X92" s="418">
        <v>0.37</v>
      </c>
      <c r="Y92" s="445">
        <v>165</v>
      </c>
      <c r="Z92" s="420">
        <v>48</v>
      </c>
      <c r="AA92" s="421">
        <v>178.25</v>
      </c>
      <c r="AB92" s="421"/>
      <c r="AC92" s="454">
        <v>23</v>
      </c>
      <c r="AE92" s="419" t="s">
        <v>1824</v>
      </c>
      <c r="AF92" s="454">
        <v>1</v>
      </c>
      <c r="AG92" s="422">
        <v>43101</v>
      </c>
      <c r="AJ92" s="423">
        <v>43109</v>
      </c>
      <c r="AL92" s="424" t="s">
        <v>1713</v>
      </c>
      <c r="AO92" s="445">
        <v>29411.25</v>
      </c>
      <c r="AP92" s="454">
        <v>556642</v>
      </c>
      <c r="AQ92" s="425">
        <v>43105</v>
      </c>
      <c r="AT92" s="426"/>
      <c r="AU92" s="426"/>
      <c r="AV92" s="426"/>
      <c r="AY92" s="427" t="s">
        <v>1722</v>
      </c>
      <c r="AZ92" s="373"/>
      <c r="BB92" s="374" t="s">
        <v>1728</v>
      </c>
      <c r="BC92" s="445">
        <v>1</v>
      </c>
      <c r="BE92" s="448"/>
      <c r="BF92" s="449"/>
      <c r="BG92" s="428"/>
      <c r="BH92" s="445">
        <v>1</v>
      </c>
      <c r="BI92" s="491"/>
      <c r="BJ92" s="491">
        <v>7</v>
      </c>
      <c r="BK92" s="445" t="s">
        <v>1825</v>
      </c>
      <c r="BL92" s="419" t="s">
        <v>2641</v>
      </c>
      <c r="BM92" s="445">
        <v>1</v>
      </c>
      <c r="BN92" s="419"/>
      <c r="BO92" s="419"/>
      <c r="BP92" s="419"/>
      <c r="BQ92" s="419" t="s">
        <v>1269</v>
      </c>
      <c r="BR92" s="419"/>
      <c r="BS92" s="419"/>
      <c r="BT92" s="445"/>
      <c r="BU92" s="445"/>
      <c r="BV92" s="445"/>
      <c r="BW92" s="445"/>
      <c r="BX92" s="445"/>
      <c r="BY92" s="445"/>
    </row>
    <row r="93" spans="1:77" ht="15">
      <c r="A93" s="370" t="s">
        <v>1269</v>
      </c>
      <c r="B93" s="415" t="s">
        <v>216</v>
      </c>
      <c r="C93" s="416" t="s">
        <v>1682</v>
      </c>
      <c r="D93" s="444">
        <v>0</v>
      </c>
      <c r="E93" s="415" t="s">
        <v>1749</v>
      </c>
      <c r="F93" s="444">
        <v>3</v>
      </c>
      <c r="G93" s="415" t="s">
        <v>1750</v>
      </c>
      <c r="H93" s="444">
        <v>89</v>
      </c>
      <c r="I93" s="417" t="s">
        <v>1688</v>
      </c>
      <c r="J93" s="444">
        <v>8.1999999999999993</v>
      </c>
      <c r="K93" s="444">
        <v>258</v>
      </c>
      <c r="L93" s="444"/>
      <c r="M93" s="444">
        <v>9</v>
      </c>
      <c r="N93" s="444">
        <v>0</v>
      </c>
      <c r="O93" s="444"/>
      <c r="P93" s="444"/>
      <c r="Q93" s="444"/>
      <c r="R93" s="444"/>
      <c r="S93" s="444">
        <v>0</v>
      </c>
      <c r="T93" s="444">
        <v>0</v>
      </c>
      <c r="U93" s="444"/>
      <c r="V93" s="444">
        <v>86</v>
      </c>
      <c r="W93" s="444">
        <v>0</v>
      </c>
      <c r="X93" s="418">
        <v>0.37</v>
      </c>
      <c r="Y93" s="445">
        <v>95</v>
      </c>
      <c r="Z93" s="420">
        <v>13</v>
      </c>
      <c r="AA93" s="421">
        <v>36.1</v>
      </c>
      <c r="AB93" s="421"/>
      <c r="AC93" s="454">
        <v>11</v>
      </c>
      <c r="AE93" s="419" t="s">
        <v>1921</v>
      </c>
      <c r="AF93" s="454">
        <v>1</v>
      </c>
      <c r="AG93" s="422">
        <v>43101</v>
      </c>
      <c r="AJ93" s="423">
        <v>43124</v>
      </c>
      <c r="AL93" s="424" t="s">
        <v>1772</v>
      </c>
      <c r="AO93" s="445">
        <v>3429.5</v>
      </c>
      <c r="AP93" s="454">
        <v>556647</v>
      </c>
      <c r="AQ93" s="425">
        <v>43124</v>
      </c>
      <c r="AT93" s="426"/>
      <c r="AU93" s="426"/>
      <c r="AV93" s="426"/>
      <c r="AY93" s="427" t="s">
        <v>1722</v>
      </c>
      <c r="AZ93" s="373"/>
      <c r="BB93" s="374" t="s">
        <v>1728</v>
      </c>
      <c r="BC93" s="445">
        <v>1</v>
      </c>
      <c r="BE93" s="448"/>
      <c r="BF93" s="449"/>
      <c r="BG93" s="428"/>
      <c r="BH93" s="445">
        <v>1</v>
      </c>
      <c r="BI93" s="491"/>
      <c r="BJ93" s="491">
        <v>25</v>
      </c>
      <c r="BK93" s="445" t="s">
        <v>1922</v>
      </c>
      <c r="BL93" s="419" t="s">
        <v>2713</v>
      </c>
      <c r="BM93" s="445">
        <v>1</v>
      </c>
      <c r="BN93" s="419"/>
      <c r="BO93" s="419"/>
      <c r="BP93" s="419"/>
      <c r="BQ93" s="419" t="s">
        <v>1269</v>
      </c>
      <c r="BR93" s="419"/>
      <c r="BS93" s="419"/>
      <c r="BT93" s="445"/>
      <c r="BU93" s="445"/>
      <c r="BV93" s="445"/>
      <c r="BW93" s="445"/>
      <c r="BX93" s="445"/>
      <c r="BY93" s="445"/>
    </row>
    <row r="94" spans="1:77" ht="15">
      <c r="A94" s="370" t="s">
        <v>31</v>
      </c>
      <c r="B94" s="415" t="s">
        <v>132</v>
      </c>
      <c r="C94" s="416" t="s">
        <v>1682</v>
      </c>
      <c r="D94" s="444">
        <v>0</v>
      </c>
      <c r="E94" s="415" t="s">
        <v>1716</v>
      </c>
      <c r="F94" s="444">
        <v>3</v>
      </c>
      <c r="G94" s="415" t="s">
        <v>1661</v>
      </c>
      <c r="H94" s="444">
        <v>20</v>
      </c>
      <c r="I94" s="417" t="s">
        <v>1686</v>
      </c>
      <c r="J94" s="444">
        <v>19.2</v>
      </c>
      <c r="K94" s="444">
        <v>877</v>
      </c>
      <c r="L94" s="444">
        <v>0</v>
      </c>
      <c r="M94" s="444">
        <v>0</v>
      </c>
      <c r="N94" s="444">
        <v>2</v>
      </c>
      <c r="O94" s="444">
        <v>0</v>
      </c>
      <c r="P94" s="444">
        <v>0</v>
      </c>
      <c r="Q94" s="444">
        <v>0</v>
      </c>
      <c r="R94" s="444">
        <v>0</v>
      </c>
      <c r="S94" s="444">
        <v>0</v>
      </c>
      <c r="T94" s="444">
        <v>0</v>
      </c>
      <c r="U94" s="444">
        <v>189</v>
      </c>
      <c r="V94" s="444">
        <v>0</v>
      </c>
      <c r="W94" s="444">
        <v>143</v>
      </c>
      <c r="X94" s="418">
        <v>0.38</v>
      </c>
      <c r="Y94" s="445">
        <v>334</v>
      </c>
      <c r="Z94" s="420">
        <v>19</v>
      </c>
      <c r="AA94" s="421">
        <v>93.07</v>
      </c>
      <c r="AB94" s="421">
        <v>93.07</v>
      </c>
      <c r="AC94" s="454">
        <v>39</v>
      </c>
      <c r="AE94" s="419" t="s">
        <v>2052</v>
      </c>
      <c r="AF94" s="454">
        <v>1</v>
      </c>
      <c r="AG94" s="422">
        <v>43101</v>
      </c>
      <c r="AJ94" s="423">
        <v>43122</v>
      </c>
      <c r="AL94" s="424" t="s">
        <v>911</v>
      </c>
      <c r="AO94" s="445">
        <v>31085.38</v>
      </c>
      <c r="AP94" s="454">
        <v>556645</v>
      </c>
      <c r="AQ94" s="425">
        <v>43122</v>
      </c>
      <c r="AT94" s="426"/>
      <c r="AU94" s="426"/>
      <c r="AV94" s="426"/>
      <c r="AY94" s="427" t="s">
        <v>1720</v>
      </c>
      <c r="AZ94" s="373"/>
      <c r="BB94" s="374" t="s">
        <v>1726</v>
      </c>
      <c r="BC94" s="445">
        <v>1</v>
      </c>
      <c r="BE94" s="448">
        <v>0</v>
      </c>
      <c r="BF94" s="449">
        <v>0</v>
      </c>
      <c r="BG94" s="428" t="s">
        <v>1764</v>
      </c>
      <c r="BH94" s="445">
        <v>1</v>
      </c>
      <c r="BI94" s="491"/>
      <c r="BJ94" s="491">
        <v>10</v>
      </c>
      <c r="BK94" s="445" t="s">
        <v>1966</v>
      </c>
      <c r="BL94" s="419" t="s">
        <v>2714</v>
      </c>
      <c r="BM94" s="445">
        <v>1</v>
      </c>
      <c r="BN94" s="419" t="s">
        <v>1765</v>
      </c>
      <c r="BO94" s="419" t="s">
        <v>1765</v>
      </c>
      <c r="BP94" s="419" t="s">
        <v>1765</v>
      </c>
      <c r="BQ94" s="419" t="s">
        <v>31</v>
      </c>
      <c r="BR94" s="419"/>
      <c r="BS94" s="419"/>
      <c r="BT94" s="445"/>
      <c r="BU94" s="445"/>
      <c r="BV94" s="445"/>
      <c r="BW94" s="445" t="s">
        <v>1964</v>
      </c>
      <c r="BX94" s="445"/>
      <c r="BY94" s="445"/>
    </row>
    <row r="95" spans="1:77" ht="15">
      <c r="A95" s="370" t="s">
        <v>1269</v>
      </c>
      <c r="B95" s="415" t="s">
        <v>132</v>
      </c>
      <c r="C95" s="416" t="s">
        <v>1682</v>
      </c>
      <c r="D95" s="444">
        <v>0</v>
      </c>
      <c r="E95" s="415" t="s">
        <v>1716</v>
      </c>
      <c r="F95" s="444">
        <v>3</v>
      </c>
      <c r="G95" s="415" t="s">
        <v>1661</v>
      </c>
      <c r="H95" s="444">
        <v>6</v>
      </c>
      <c r="I95" s="417" t="s">
        <v>1664</v>
      </c>
      <c r="J95" s="444">
        <v>8.6999999999999993</v>
      </c>
      <c r="K95" s="444">
        <v>283</v>
      </c>
      <c r="L95" s="444">
        <v>0</v>
      </c>
      <c r="M95" s="444">
        <v>0</v>
      </c>
      <c r="N95" s="444">
        <v>2</v>
      </c>
      <c r="O95" s="444">
        <v>0</v>
      </c>
      <c r="P95" s="444">
        <v>0</v>
      </c>
      <c r="Q95" s="444">
        <v>0</v>
      </c>
      <c r="R95" s="444">
        <v>0</v>
      </c>
      <c r="S95" s="444">
        <v>0</v>
      </c>
      <c r="T95" s="444">
        <v>0</v>
      </c>
      <c r="U95" s="444">
        <v>2</v>
      </c>
      <c r="V95" s="444">
        <v>0</v>
      </c>
      <c r="W95" s="444">
        <v>142</v>
      </c>
      <c r="X95" s="418"/>
      <c r="Y95" s="445">
        <v>146</v>
      </c>
      <c r="Z95" s="420"/>
      <c r="AA95" s="421">
        <v>80.704999999999998</v>
      </c>
      <c r="AB95" s="421">
        <v>38.070999999999998</v>
      </c>
      <c r="AC95" s="454">
        <v>9</v>
      </c>
      <c r="AE95" s="419" t="s">
        <v>1967</v>
      </c>
      <c r="AF95" s="454">
        <v>1</v>
      </c>
      <c r="AG95" s="429">
        <v>43101</v>
      </c>
      <c r="AJ95" s="430">
        <v>43122</v>
      </c>
      <c r="AL95" s="424" t="s">
        <v>926</v>
      </c>
      <c r="AO95" s="445"/>
      <c r="AP95" s="454">
        <v>556645</v>
      </c>
      <c r="AQ95" s="431">
        <v>43122</v>
      </c>
      <c r="AT95" s="426"/>
      <c r="AU95" s="426"/>
      <c r="AV95" s="426"/>
      <c r="AY95" s="427" t="s">
        <v>1720</v>
      </c>
      <c r="AZ95" s="373"/>
      <c r="BB95" s="374" t="s">
        <v>1726</v>
      </c>
      <c r="BC95" s="445"/>
      <c r="BE95" s="448">
        <v>0</v>
      </c>
      <c r="BF95" s="449">
        <v>0</v>
      </c>
      <c r="BG95" s="428" t="s">
        <v>1764</v>
      </c>
      <c r="BH95" s="445"/>
      <c r="BI95" s="491"/>
      <c r="BJ95" s="491">
        <v>11</v>
      </c>
      <c r="BK95" s="445" t="s">
        <v>126</v>
      </c>
      <c r="BL95" s="419" t="s">
        <v>2715</v>
      </c>
      <c r="BM95" s="445"/>
      <c r="BN95" s="419" t="s">
        <v>1765</v>
      </c>
      <c r="BO95" s="419" t="s">
        <v>1765</v>
      </c>
      <c r="BP95" s="419" t="s">
        <v>1765</v>
      </c>
      <c r="BQ95" s="419" t="s">
        <v>1269</v>
      </c>
      <c r="BR95" s="419"/>
      <c r="BS95" s="419"/>
      <c r="BT95" s="445"/>
      <c r="BU95" s="445"/>
      <c r="BV95" s="445"/>
      <c r="BW95" s="445" t="s">
        <v>1964</v>
      </c>
      <c r="BX95" s="445"/>
      <c r="BY95" s="445"/>
    </row>
    <row r="96" spans="1:77" ht="15">
      <c r="A96" s="370" t="s">
        <v>31</v>
      </c>
      <c r="B96" s="415" t="s">
        <v>296</v>
      </c>
      <c r="C96" s="416"/>
      <c r="D96" s="444">
        <v>0</v>
      </c>
      <c r="E96" s="415" t="s">
        <v>1716</v>
      </c>
      <c r="F96" s="444">
        <v>3</v>
      </c>
      <c r="G96" s="415" t="s">
        <v>1661</v>
      </c>
      <c r="H96" s="444">
        <v>101</v>
      </c>
      <c r="I96" s="417" t="s">
        <v>2146</v>
      </c>
      <c r="J96" s="444">
        <v>4</v>
      </c>
      <c r="K96" s="444">
        <v>1513</v>
      </c>
      <c r="L96" s="444">
        <v>21</v>
      </c>
      <c r="M96" s="444">
        <v>355</v>
      </c>
      <c r="N96" s="444">
        <v>0</v>
      </c>
      <c r="O96" s="444">
        <v>0</v>
      </c>
      <c r="P96" s="444">
        <v>8</v>
      </c>
      <c r="Q96" s="444">
        <v>157</v>
      </c>
      <c r="R96" s="444">
        <v>104</v>
      </c>
      <c r="S96" s="444">
        <v>284</v>
      </c>
      <c r="T96" s="444">
        <v>52</v>
      </c>
      <c r="U96" s="444">
        <v>86</v>
      </c>
      <c r="V96" s="444">
        <v>205</v>
      </c>
      <c r="W96" s="444"/>
      <c r="X96" s="418"/>
      <c r="Y96" s="445">
        <v>1272</v>
      </c>
      <c r="Z96" s="420"/>
      <c r="AA96" s="421"/>
      <c r="AB96" s="421"/>
      <c r="AC96" s="454">
        <v>95</v>
      </c>
      <c r="AE96" s="419"/>
      <c r="AF96" s="454">
        <v>1</v>
      </c>
      <c r="AG96" s="429">
        <v>43101</v>
      </c>
      <c r="AJ96" s="430"/>
      <c r="AL96" s="424"/>
      <c r="AO96" s="445"/>
      <c r="AP96" s="454">
        <v>556622</v>
      </c>
      <c r="AQ96" s="431">
        <v>43077</v>
      </c>
      <c r="AT96" s="426"/>
      <c r="AU96" s="426"/>
      <c r="AV96" s="426"/>
      <c r="AY96" s="427" t="s">
        <v>1722</v>
      </c>
      <c r="AZ96" s="373"/>
      <c r="BC96" s="445"/>
      <c r="BE96" s="448">
        <v>10</v>
      </c>
      <c r="BF96" s="449">
        <v>40</v>
      </c>
      <c r="BG96" s="428" t="s">
        <v>2716</v>
      </c>
      <c r="BH96" s="445"/>
      <c r="BI96" s="491"/>
      <c r="BJ96" s="491">
        <v>2</v>
      </c>
      <c r="BK96" s="445" t="s">
        <v>2717</v>
      </c>
      <c r="BL96" s="419" t="s">
        <v>2718</v>
      </c>
      <c r="BM96" s="445"/>
      <c r="BN96" s="419"/>
      <c r="BO96" s="419"/>
      <c r="BP96" s="419"/>
      <c r="BQ96" s="419" t="s">
        <v>31</v>
      </c>
      <c r="BR96" s="419"/>
      <c r="BS96" s="419"/>
      <c r="BT96" s="445"/>
      <c r="BU96" s="445"/>
      <c r="BV96" s="445"/>
      <c r="BW96" s="445" t="s">
        <v>2556</v>
      </c>
      <c r="BX96" s="445"/>
      <c r="BY96" s="445"/>
    </row>
    <row r="97" spans="1:77" ht="15">
      <c r="A97" s="370" t="s">
        <v>1269</v>
      </c>
      <c r="B97" s="415" t="s">
        <v>296</v>
      </c>
      <c r="C97" s="416" t="s">
        <v>1682</v>
      </c>
      <c r="D97" s="444">
        <v>0</v>
      </c>
      <c r="E97" s="415" t="s">
        <v>1716</v>
      </c>
      <c r="F97" s="444">
        <v>3</v>
      </c>
      <c r="G97" s="415" t="s">
        <v>1661</v>
      </c>
      <c r="H97" s="444">
        <v>7</v>
      </c>
      <c r="I97" s="417" t="s">
        <v>1684</v>
      </c>
      <c r="J97" s="444">
        <v>0.8</v>
      </c>
      <c r="K97" s="444">
        <v>46</v>
      </c>
      <c r="L97" s="444">
        <v>0</v>
      </c>
      <c r="M97" s="444">
        <v>0</v>
      </c>
      <c r="N97" s="444">
        <v>1</v>
      </c>
      <c r="O97" s="444">
        <v>0</v>
      </c>
      <c r="P97" s="444">
        <v>0</v>
      </c>
      <c r="Q97" s="444">
        <v>0</v>
      </c>
      <c r="R97" s="444">
        <v>0</v>
      </c>
      <c r="S97" s="444">
        <v>0</v>
      </c>
      <c r="T97" s="444">
        <v>0</v>
      </c>
      <c r="U97" s="444">
        <v>0</v>
      </c>
      <c r="V97" s="444">
        <v>0</v>
      </c>
      <c r="W97" s="444">
        <v>25</v>
      </c>
      <c r="X97" s="418"/>
      <c r="Y97" s="445">
        <v>26</v>
      </c>
      <c r="Z97" s="420"/>
      <c r="AA97" s="421">
        <v>75.575000000000003</v>
      </c>
      <c r="AB97" s="421">
        <v>38.070999999999998</v>
      </c>
      <c r="AC97" s="454">
        <v>4</v>
      </c>
      <c r="AE97" s="419" t="s">
        <v>1968</v>
      </c>
      <c r="AF97" s="454">
        <v>1</v>
      </c>
      <c r="AG97" s="429">
        <v>43101</v>
      </c>
      <c r="AJ97" s="430">
        <v>43132</v>
      </c>
      <c r="AL97" s="424" t="s">
        <v>1024</v>
      </c>
      <c r="AO97" s="445"/>
      <c r="AP97" s="454">
        <v>556646</v>
      </c>
      <c r="AQ97" s="431">
        <v>43122</v>
      </c>
      <c r="AT97" s="426"/>
      <c r="AU97" s="426"/>
      <c r="AV97" s="426"/>
      <c r="AY97" s="427" t="s">
        <v>1722</v>
      </c>
      <c r="AZ97" s="373"/>
      <c r="BB97" s="374" t="s">
        <v>1728</v>
      </c>
      <c r="BC97" s="445"/>
      <c r="BE97" s="448">
        <v>0</v>
      </c>
      <c r="BF97" s="449">
        <v>0</v>
      </c>
      <c r="BG97" s="428" t="s">
        <v>1764</v>
      </c>
      <c r="BH97" s="445"/>
      <c r="BI97" s="491"/>
      <c r="BJ97" s="491">
        <v>2</v>
      </c>
      <c r="BK97" s="445" t="s">
        <v>2719</v>
      </c>
      <c r="BL97" s="419" t="s">
        <v>2720</v>
      </c>
      <c r="BM97" s="445"/>
      <c r="BN97" s="419" t="s">
        <v>1765</v>
      </c>
      <c r="BO97" s="419" t="s">
        <v>1765</v>
      </c>
      <c r="BP97" s="419" t="s">
        <v>1765</v>
      </c>
      <c r="BQ97" s="419" t="s">
        <v>1269</v>
      </c>
      <c r="BR97" s="419"/>
      <c r="BS97" s="419"/>
      <c r="BT97" s="445"/>
      <c r="BU97" s="445"/>
      <c r="BV97" s="445"/>
      <c r="BW97" s="445" t="s">
        <v>1964</v>
      </c>
      <c r="BX97" s="445"/>
      <c r="BY97" s="445"/>
    </row>
    <row r="98" spans="1:77" ht="15">
      <c r="A98" s="370" t="s">
        <v>1269</v>
      </c>
      <c r="B98" s="415" t="s">
        <v>296</v>
      </c>
      <c r="C98" s="416" t="s">
        <v>1682</v>
      </c>
      <c r="D98" s="444">
        <v>0</v>
      </c>
      <c r="E98" s="415" t="s">
        <v>1716</v>
      </c>
      <c r="F98" s="444">
        <v>3</v>
      </c>
      <c r="G98" s="415" t="s">
        <v>1661</v>
      </c>
      <c r="H98" s="444">
        <v>31</v>
      </c>
      <c r="I98" s="417" t="s">
        <v>1660</v>
      </c>
      <c r="J98" s="444">
        <v>1.6</v>
      </c>
      <c r="K98" s="444">
        <v>121</v>
      </c>
      <c r="L98" s="444">
        <v>0</v>
      </c>
      <c r="M98" s="444">
        <v>0</v>
      </c>
      <c r="N98" s="444">
        <v>0</v>
      </c>
      <c r="O98" s="444">
        <v>0</v>
      </c>
      <c r="P98" s="444">
        <v>0</v>
      </c>
      <c r="Q98" s="444">
        <v>0</v>
      </c>
      <c r="R98" s="444">
        <v>0</v>
      </c>
      <c r="S98" s="444">
        <v>0</v>
      </c>
      <c r="T98" s="444">
        <v>0</v>
      </c>
      <c r="U98" s="444">
        <v>0</v>
      </c>
      <c r="V98" s="444">
        <v>0</v>
      </c>
      <c r="W98" s="444">
        <v>57</v>
      </c>
      <c r="X98" s="418"/>
      <c r="Y98" s="445">
        <v>57</v>
      </c>
      <c r="Z98" s="420"/>
      <c r="AA98" s="421">
        <v>80.313999999999993</v>
      </c>
      <c r="AB98" s="421">
        <v>38.070999999999998</v>
      </c>
      <c r="AC98" s="454">
        <v>5</v>
      </c>
      <c r="AE98" s="419" t="s">
        <v>1969</v>
      </c>
      <c r="AF98" s="454">
        <v>1</v>
      </c>
      <c r="AG98" s="429">
        <v>43101</v>
      </c>
      <c r="AJ98" s="430">
        <v>43132</v>
      </c>
      <c r="AL98" s="424" t="s">
        <v>1026</v>
      </c>
      <c r="AO98" s="445"/>
      <c r="AP98" s="454">
        <v>556646</v>
      </c>
      <c r="AQ98" s="431">
        <v>43122</v>
      </c>
      <c r="AT98" s="426"/>
      <c r="AU98" s="426"/>
      <c r="AV98" s="426"/>
      <c r="AY98" s="427" t="s">
        <v>1722</v>
      </c>
      <c r="AZ98" s="373"/>
      <c r="BB98" s="374" t="s">
        <v>1728</v>
      </c>
      <c r="BC98" s="445"/>
      <c r="BE98" s="448">
        <v>0</v>
      </c>
      <c r="BF98" s="449">
        <v>0</v>
      </c>
      <c r="BG98" s="428" t="s">
        <v>1764</v>
      </c>
      <c r="BH98" s="445"/>
      <c r="BI98" s="491"/>
      <c r="BJ98" s="491">
        <v>3</v>
      </c>
      <c r="BK98" s="445" t="s">
        <v>302</v>
      </c>
      <c r="BL98" s="419" t="s">
        <v>2721</v>
      </c>
      <c r="BM98" s="445"/>
      <c r="BN98" s="419" t="s">
        <v>1765</v>
      </c>
      <c r="BO98" s="419" t="s">
        <v>1765</v>
      </c>
      <c r="BP98" s="419" t="s">
        <v>1765</v>
      </c>
      <c r="BQ98" s="419" t="s">
        <v>1269</v>
      </c>
      <c r="BR98" s="419"/>
      <c r="BS98" s="419"/>
      <c r="BT98" s="445"/>
      <c r="BU98" s="445"/>
      <c r="BV98" s="445"/>
      <c r="BW98" s="445" t="s">
        <v>1964</v>
      </c>
      <c r="BX98" s="445"/>
      <c r="BY98" s="445"/>
    </row>
    <row r="99" spans="1:77" ht="15">
      <c r="A99" s="370" t="s">
        <v>1269</v>
      </c>
      <c r="B99" s="415" t="s">
        <v>296</v>
      </c>
      <c r="C99" s="416" t="s">
        <v>1682</v>
      </c>
      <c r="D99" s="444">
        <v>0</v>
      </c>
      <c r="E99" s="415" t="s">
        <v>1716</v>
      </c>
      <c r="F99" s="444">
        <v>3</v>
      </c>
      <c r="G99" s="415" t="s">
        <v>1661</v>
      </c>
      <c r="H99" s="444">
        <v>68</v>
      </c>
      <c r="I99" s="417" t="s">
        <v>1664</v>
      </c>
      <c r="J99" s="444">
        <v>3.3</v>
      </c>
      <c r="K99" s="444">
        <v>150</v>
      </c>
      <c r="L99" s="444">
        <v>0</v>
      </c>
      <c r="M99" s="444">
        <v>0</v>
      </c>
      <c r="N99" s="444">
        <v>16</v>
      </c>
      <c r="O99" s="444">
        <v>0</v>
      </c>
      <c r="P99" s="444">
        <v>0</v>
      </c>
      <c r="Q99" s="444">
        <v>0</v>
      </c>
      <c r="R99" s="444">
        <v>0</v>
      </c>
      <c r="S99" s="444">
        <v>0</v>
      </c>
      <c r="T99" s="444">
        <v>0</v>
      </c>
      <c r="U99" s="444">
        <v>27</v>
      </c>
      <c r="V99" s="444">
        <v>3</v>
      </c>
      <c r="W99" s="444">
        <v>55</v>
      </c>
      <c r="X99" s="418"/>
      <c r="Y99" s="445">
        <v>101</v>
      </c>
      <c r="Z99" s="420"/>
      <c r="AA99" s="421">
        <v>69.483000000000004</v>
      </c>
      <c r="AB99" s="421">
        <v>38.070999999999998</v>
      </c>
      <c r="AC99" s="454">
        <v>7</v>
      </c>
      <c r="AE99" s="419" t="s">
        <v>1970</v>
      </c>
      <c r="AF99" s="454">
        <v>1</v>
      </c>
      <c r="AG99" s="429">
        <v>43101</v>
      </c>
      <c r="AJ99" s="430">
        <v>43132</v>
      </c>
      <c r="AL99" s="424" t="s">
        <v>918</v>
      </c>
      <c r="AO99" s="445"/>
      <c r="AP99" s="454">
        <v>556646</v>
      </c>
      <c r="AQ99" s="431">
        <v>43122</v>
      </c>
      <c r="AT99" s="426"/>
      <c r="AU99" s="426"/>
      <c r="AV99" s="426"/>
      <c r="AY99" s="427" t="s">
        <v>1722</v>
      </c>
      <c r="AZ99" s="373"/>
      <c r="BB99" s="374" t="s">
        <v>1728</v>
      </c>
      <c r="BC99" s="445"/>
      <c r="BE99" s="448">
        <v>0</v>
      </c>
      <c r="BF99" s="449">
        <v>0</v>
      </c>
      <c r="BG99" s="428" t="s">
        <v>1764</v>
      </c>
      <c r="BH99" s="445"/>
      <c r="BI99" s="491"/>
      <c r="BJ99" s="491">
        <v>4</v>
      </c>
      <c r="BK99" s="445" t="s">
        <v>2722</v>
      </c>
      <c r="BL99" s="419" t="s">
        <v>2723</v>
      </c>
      <c r="BM99" s="445"/>
      <c r="BN99" s="419" t="s">
        <v>1765</v>
      </c>
      <c r="BO99" s="419" t="s">
        <v>1765</v>
      </c>
      <c r="BP99" s="419" t="s">
        <v>1765</v>
      </c>
      <c r="BQ99" s="419" t="s">
        <v>1269</v>
      </c>
      <c r="BR99" s="419"/>
      <c r="BS99" s="419"/>
      <c r="BT99" s="445"/>
      <c r="BU99" s="445"/>
      <c r="BV99" s="445"/>
      <c r="BW99" s="445" t="s">
        <v>1964</v>
      </c>
      <c r="BX99" s="445"/>
      <c r="BY99" s="445"/>
    </row>
    <row r="100" spans="1:77" ht="15">
      <c r="A100" s="370" t="s">
        <v>1269</v>
      </c>
      <c r="B100" s="415" t="s">
        <v>296</v>
      </c>
      <c r="C100" s="416" t="s">
        <v>1682</v>
      </c>
      <c r="D100" s="444">
        <v>0</v>
      </c>
      <c r="E100" s="415" t="s">
        <v>1716</v>
      </c>
      <c r="F100" s="444">
        <v>3</v>
      </c>
      <c r="G100" s="415" t="s">
        <v>1661</v>
      </c>
      <c r="H100" s="444">
        <v>68</v>
      </c>
      <c r="I100" s="417" t="s">
        <v>1685</v>
      </c>
      <c r="J100" s="444">
        <v>3.4</v>
      </c>
      <c r="K100" s="444">
        <v>178</v>
      </c>
      <c r="L100" s="444">
        <v>0</v>
      </c>
      <c r="M100" s="444">
        <v>0</v>
      </c>
      <c r="N100" s="444">
        <v>9</v>
      </c>
      <c r="O100" s="444">
        <v>0</v>
      </c>
      <c r="P100" s="444">
        <v>0</v>
      </c>
      <c r="Q100" s="444">
        <v>0</v>
      </c>
      <c r="R100" s="444">
        <v>0</v>
      </c>
      <c r="S100" s="444">
        <v>0</v>
      </c>
      <c r="T100" s="444">
        <v>0</v>
      </c>
      <c r="U100" s="444">
        <v>44</v>
      </c>
      <c r="V100" s="444">
        <v>2</v>
      </c>
      <c r="W100" s="444">
        <v>31</v>
      </c>
      <c r="X100" s="418"/>
      <c r="Y100" s="445">
        <v>86</v>
      </c>
      <c r="Z100" s="420"/>
      <c r="AA100" s="421">
        <v>79.781999999999996</v>
      </c>
      <c r="AB100" s="421">
        <v>38.070999999999998</v>
      </c>
      <c r="AC100" s="454">
        <v>8</v>
      </c>
      <c r="AE100" s="419" t="s">
        <v>1971</v>
      </c>
      <c r="AF100" s="454">
        <v>1</v>
      </c>
      <c r="AG100" s="429">
        <v>43101</v>
      </c>
      <c r="AJ100" s="430">
        <v>43132</v>
      </c>
      <c r="AL100" s="424" t="s">
        <v>918</v>
      </c>
      <c r="AO100" s="445"/>
      <c r="AP100" s="454">
        <v>556646</v>
      </c>
      <c r="AQ100" s="431">
        <v>43122</v>
      </c>
      <c r="AT100" s="426"/>
      <c r="AU100" s="426"/>
      <c r="AV100" s="426"/>
      <c r="AY100" s="427" t="s">
        <v>1722</v>
      </c>
      <c r="AZ100" s="373"/>
      <c r="BB100" s="374" t="s">
        <v>1728</v>
      </c>
      <c r="BC100" s="445"/>
      <c r="BE100" s="448">
        <v>0</v>
      </c>
      <c r="BF100" s="449">
        <v>0</v>
      </c>
      <c r="BG100" s="428" t="s">
        <v>1764</v>
      </c>
      <c r="BH100" s="445"/>
      <c r="BI100" s="491"/>
      <c r="BJ100" s="491">
        <v>5</v>
      </c>
      <c r="BK100" s="445" t="s">
        <v>2724</v>
      </c>
      <c r="BL100" s="419" t="s">
        <v>2725</v>
      </c>
      <c r="BM100" s="445"/>
      <c r="BN100" s="419" t="s">
        <v>1765</v>
      </c>
      <c r="BO100" s="419" t="s">
        <v>1765</v>
      </c>
      <c r="BP100" s="419" t="s">
        <v>1765</v>
      </c>
      <c r="BQ100" s="419" t="s">
        <v>1269</v>
      </c>
      <c r="BR100" s="419"/>
      <c r="BS100" s="419"/>
      <c r="BT100" s="445"/>
      <c r="BU100" s="445"/>
      <c r="BV100" s="445"/>
      <c r="BW100" s="445" t="s">
        <v>1964</v>
      </c>
      <c r="BX100" s="445"/>
      <c r="BY100" s="445"/>
    </row>
    <row r="101" spans="1:77" ht="15">
      <c r="A101" s="370" t="s">
        <v>1269</v>
      </c>
      <c r="B101" s="415" t="s">
        <v>296</v>
      </c>
      <c r="C101" s="416" t="s">
        <v>1682</v>
      </c>
      <c r="D101" s="444">
        <v>0</v>
      </c>
      <c r="E101" s="415" t="s">
        <v>1716</v>
      </c>
      <c r="F101" s="444">
        <v>3</v>
      </c>
      <c r="G101" s="415" t="s">
        <v>1661</v>
      </c>
      <c r="H101" s="444">
        <v>94</v>
      </c>
      <c r="I101" s="417" t="s">
        <v>1632</v>
      </c>
      <c r="J101" s="444">
        <v>0.9</v>
      </c>
      <c r="K101" s="444">
        <v>81</v>
      </c>
      <c r="L101" s="444">
        <v>0</v>
      </c>
      <c r="M101" s="444">
        <v>0</v>
      </c>
      <c r="N101" s="444">
        <v>2</v>
      </c>
      <c r="O101" s="444">
        <v>0</v>
      </c>
      <c r="P101" s="444">
        <v>0</v>
      </c>
      <c r="Q101" s="444">
        <v>0</v>
      </c>
      <c r="R101" s="444">
        <v>0</v>
      </c>
      <c r="S101" s="444">
        <v>0</v>
      </c>
      <c r="T101" s="444">
        <v>0</v>
      </c>
      <c r="U101" s="444">
        <v>6</v>
      </c>
      <c r="V101" s="444">
        <v>3</v>
      </c>
      <c r="W101" s="444">
        <v>24</v>
      </c>
      <c r="X101" s="418"/>
      <c r="Y101" s="445">
        <v>35</v>
      </c>
      <c r="Z101" s="420"/>
      <c r="AA101" s="421">
        <v>78.924999999999997</v>
      </c>
      <c r="AB101" s="421">
        <v>38.070999999999998</v>
      </c>
      <c r="AC101" s="454">
        <v>3</v>
      </c>
      <c r="AE101" s="419" t="s">
        <v>1972</v>
      </c>
      <c r="AF101" s="454">
        <v>1</v>
      </c>
      <c r="AG101" s="429">
        <v>43101</v>
      </c>
      <c r="AJ101" s="430">
        <v>43132</v>
      </c>
      <c r="AL101" s="424" t="s">
        <v>1012</v>
      </c>
      <c r="AO101" s="445"/>
      <c r="AP101" s="454">
        <v>556646</v>
      </c>
      <c r="AQ101" s="431">
        <v>43122</v>
      </c>
      <c r="AT101" s="426"/>
      <c r="AU101" s="426"/>
      <c r="AV101" s="426"/>
      <c r="AY101" s="427" t="s">
        <v>1722</v>
      </c>
      <c r="AZ101" s="373"/>
      <c r="BB101" s="374" t="s">
        <v>1728</v>
      </c>
      <c r="BC101" s="445"/>
      <c r="BE101" s="448">
        <v>0</v>
      </c>
      <c r="BF101" s="449">
        <v>0</v>
      </c>
      <c r="BG101" s="428" t="s">
        <v>1764</v>
      </c>
      <c r="BH101" s="445"/>
      <c r="BI101" s="491"/>
      <c r="BJ101" s="491">
        <v>6</v>
      </c>
      <c r="BK101" s="445" t="s">
        <v>2726</v>
      </c>
      <c r="BL101" s="419" t="s">
        <v>2727</v>
      </c>
      <c r="BM101" s="445"/>
      <c r="BN101" s="419" t="s">
        <v>1765</v>
      </c>
      <c r="BO101" s="419" t="s">
        <v>1765</v>
      </c>
      <c r="BP101" s="419" t="s">
        <v>1765</v>
      </c>
      <c r="BQ101" s="419" t="s">
        <v>1269</v>
      </c>
      <c r="BR101" s="419"/>
      <c r="BS101" s="419"/>
      <c r="BT101" s="445"/>
      <c r="BU101" s="445"/>
      <c r="BV101" s="445"/>
      <c r="BW101" s="445" t="s">
        <v>1964</v>
      </c>
      <c r="BX101" s="445"/>
      <c r="BY101" s="445"/>
    </row>
    <row r="102" spans="1:77" ht="15">
      <c r="A102" s="370" t="s">
        <v>1269</v>
      </c>
      <c r="B102" s="415" t="s">
        <v>296</v>
      </c>
      <c r="C102" s="416" t="s">
        <v>1682</v>
      </c>
      <c r="D102" s="444">
        <v>0</v>
      </c>
      <c r="E102" s="415" t="s">
        <v>1716</v>
      </c>
      <c r="F102" s="444">
        <v>3</v>
      </c>
      <c r="G102" s="415" t="s">
        <v>1661</v>
      </c>
      <c r="H102" s="444">
        <v>97</v>
      </c>
      <c r="I102" s="417" t="s">
        <v>1664</v>
      </c>
      <c r="J102" s="444">
        <v>0.1</v>
      </c>
      <c r="K102" s="444">
        <v>30</v>
      </c>
      <c r="L102" s="444">
        <v>0</v>
      </c>
      <c r="M102" s="444">
        <v>2</v>
      </c>
      <c r="N102" s="444">
        <v>0</v>
      </c>
      <c r="O102" s="444">
        <v>0</v>
      </c>
      <c r="P102" s="444">
        <v>0</v>
      </c>
      <c r="Q102" s="444">
        <v>0</v>
      </c>
      <c r="R102" s="444">
        <v>0</v>
      </c>
      <c r="S102" s="444">
        <v>0</v>
      </c>
      <c r="T102" s="444">
        <v>0</v>
      </c>
      <c r="U102" s="444">
        <v>0</v>
      </c>
      <c r="V102" s="444">
        <v>6</v>
      </c>
      <c r="W102" s="444">
        <v>2</v>
      </c>
      <c r="X102" s="418"/>
      <c r="Y102" s="445">
        <v>10</v>
      </c>
      <c r="Z102" s="420"/>
      <c r="AA102" s="421">
        <v>74.323999999999998</v>
      </c>
      <c r="AB102" s="421">
        <v>38.070999999999998</v>
      </c>
      <c r="AC102" s="454">
        <v>1</v>
      </c>
      <c r="AE102" s="419" t="s">
        <v>1973</v>
      </c>
      <c r="AF102" s="454">
        <v>1</v>
      </c>
      <c r="AG102" s="429">
        <v>43101</v>
      </c>
      <c r="AJ102" s="430">
        <v>43132</v>
      </c>
      <c r="AL102" s="424" t="s">
        <v>1012</v>
      </c>
      <c r="AO102" s="445"/>
      <c r="AP102" s="454">
        <v>556646</v>
      </c>
      <c r="AQ102" s="431">
        <v>43122</v>
      </c>
      <c r="AT102" s="426"/>
      <c r="AU102" s="426"/>
      <c r="AV102" s="426"/>
      <c r="AY102" s="427" t="s">
        <v>1722</v>
      </c>
      <c r="AZ102" s="373"/>
      <c r="BB102" s="374" t="s">
        <v>1728</v>
      </c>
      <c r="BC102" s="445"/>
      <c r="BE102" s="448">
        <v>0</v>
      </c>
      <c r="BF102" s="449">
        <v>0</v>
      </c>
      <c r="BG102" s="428" t="s">
        <v>1764</v>
      </c>
      <c r="BH102" s="445"/>
      <c r="BI102" s="491"/>
      <c r="BJ102" s="491">
        <v>7</v>
      </c>
      <c r="BK102" s="445" t="s">
        <v>2728</v>
      </c>
      <c r="BL102" s="419" t="s">
        <v>2729</v>
      </c>
      <c r="BM102" s="445"/>
      <c r="BN102" s="419" t="s">
        <v>1765</v>
      </c>
      <c r="BO102" s="419" t="s">
        <v>1765</v>
      </c>
      <c r="BP102" s="419" t="s">
        <v>1765</v>
      </c>
      <c r="BQ102" s="419" t="s">
        <v>1269</v>
      </c>
      <c r="BR102" s="419"/>
      <c r="BS102" s="419"/>
      <c r="BT102" s="445"/>
      <c r="BU102" s="445"/>
      <c r="BV102" s="445"/>
      <c r="BW102" s="445" t="s">
        <v>1964</v>
      </c>
      <c r="BX102" s="445"/>
      <c r="BY102" s="445"/>
    </row>
    <row r="103" spans="1:77" ht="15">
      <c r="A103" s="370" t="s">
        <v>1269</v>
      </c>
      <c r="B103" s="415" t="s">
        <v>296</v>
      </c>
      <c r="C103" s="416" t="s">
        <v>1682</v>
      </c>
      <c r="D103" s="444">
        <v>0</v>
      </c>
      <c r="E103" s="415" t="s">
        <v>1716</v>
      </c>
      <c r="F103" s="444">
        <v>3</v>
      </c>
      <c r="G103" s="415" t="s">
        <v>1661</v>
      </c>
      <c r="H103" s="444">
        <v>101</v>
      </c>
      <c r="I103" s="417" t="s">
        <v>1687</v>
      </c>
      <c r="J103" s="444">
        <v>4.8</v>
      </c>
      <c r="K103" s="444">
        <v>380</v>
      </c>
      <c r="L103" s="444">
        <v>0</v>
      </c>
      <c r="M103" s="444">
        <v>5</v>
      </c>
      <c r="N103" s="444">
        <v>0</v>
      </c>
      <c r="O103" s="444">
        <v>0</v>
      </c>
      <c r="P103" s="444">
        <v>0</v>
      </c>
      <c r="Q103" s="444">
        <v>0</v>
      </c>
      <c r="R103" s="444">
        <v>0</v>
      </c>
      <c r="S103" s="444">
        <v>0</v>
      </c>
      <c r="T103" s="444">
        <v>0</v>
      </c>
      <c r="U103" s="444">
        <v>48</v>
      </c>
      <c r="V103" s="444">
        <v>7</v>
      </c>
      <c r="W103" s="444">
        <v>45</v>
      </c>
      <c r="X103" s="418"/>
      <c r="Y103" s="445">
        <v>105</v>
      </c>
      <c r="Z103" s="420"/>
      <c r="AA103" s="421">
        <v>93.355999999999995</v>
      </c>
      <c r="AB103" s="421">
        <v>38.070999999999998</v>
      </c>
      <c r="AC103" s="454">
        <v>13</v>
      </c>
      <c r="AE103" s="419" t="s">
        <v>1974</v>
      </c>
      <c r="AF103" s="454">
        <v>1</v>
      </c>
      <c r="AG103" s="429">
        <v>43101</v>
      </c>
      <c r="AJ103" s="430">
        <v>43132</v>
      </c>
      <c r="AL103" s="424" t="s">
        <v>1012</v>
      </c>
      <c r="AO103" s="445"/>
      <c r="AP103" s="454">
        <v>556646</v>
      </c>
      <c r="AQ103" s="431">
        <v>43122</v>
      </c>
      <c r="AT103" s="426"/>
      <c r="AU103" s="426"/>
      <c r="AV103" s="426"/>
      <c r="AY103" s="427" t="s">
        <v>1722</v>
      </c>
      <c r="AZ103" s="373"/>
      <c r="BB103" s="374" t="s">
        <v>1728</v>
      </c>
      <c r="BC103" s="445"/>
      <c r="BE103" s="448">
        <v>0</v>
      </c>
      <c r="BF103" s="449">
        <v>0</v>
      </c>
      <c r="BG103" s="428" t="s">
        <v>1764</v>
      </c>
      <c r="BH103" s="445"/>
      <c r="BI103" s="491"/>
      <c r="BJ103" s="491">
        <v>8</v>
      </c>
      <c r="BK103" s="445" t="s">
        <v>2730</v>
      </c>
      <c r="BL103" s="419" t="s">
        <v>2731</v>
      </c>
      <c r="BM103" s="445"/>
      <c r="BN103" s="419" t="s">
        <v>1765</v>
      </c>
      <c r="BO103" s="419" t="s">
        <v>1765</v>
      </c>
      <c r="BP103" s="419" t="s">
        <v>1765</v>
      </c>
      <c r="BQ103" s="419" t="s">
        <v>1269</v>
      </c>
      <c r="BR103" s="419"/>
      <c r="BS103" s="419"/>
      <c r="BT103" s="445"/>
      <c r="BU103" s="445"/>
      <c r="BV103" s="445"/>
      <c r="BW103" s="445" t="s">
        <v>1964</v>
      </c>
      <c r="BX103" s="445"/>
      <c r="BY103" s="445"/>
    </row>
    <row r="104" spans="1:77" ht="15">
      <c r="A104" s="370" t="s">
        <v>1269</v>
      </c>
      <c r="B104" s="415" t="s">
        <v>296</v>
      </c>
      <c r="C104" s="416" t="s">
        <v>1682</v>
      </c>
      <c r="D104" s="444">
        <v>0</v>
      </c>
      <c r="E104" s="415" t="s">
        <v>1718</v>
      </c>
      <c r="F104" s="444">
        <v>2</v>
      </c>
      <c r="G104" s="415" t="s">
        <v>1661</v>
      </c>
      <c r="H104" s="444">
        <v>132</v>
      </c>
      <c r="I104" s="417" t="s">
        <v>1685</v>
      </c>
      <c r="J104" s="444">
        <v>14.2</v>
      </c>
      <c r="K104" s="444">
        <v>978</v>
      </c>
      <c r="L104" s="444">
        <v>0</v>
      </c>
      <c r="M104" s="444">
        <v>0</v>
      </c>
      <c r="N104" s="444">
        <v>18</v>
      </c>
      <c r="O104" s="444">
        <v>0</v>
      </c>
      <c r="P104" s="444">
        <v>0</v>
      </c>
      <c r="Q104" s="444">
        <v>0</v>
      </c>
      <c r="R104" s="444">
        <v>0</v>
      </c>
      <c r="S104" s="444">
        <v>0</v>
      </c>
      <c r="T104" s="444">
        <v>0</v>
      </c>
      <c r="U104" s="444">
        <v>0</v>
      </c>
      <c r="V104" s="444">
        <v>4</v>
      </c>
      <c r="W104" s="444">
        <v>364</v>
      </c>
      <c r="X104" s="418"/>
      <c r="Y104" s="445">
        <v>386</v>
      </c>
      <c r="Z104" s="420"/>
      <c r="AA104" s="421">
        <v>74.959000000000003</v>
      </c>
      <c r="AB104" s="421">
        <v>29.978000000000002</v>
      </c>
      <c r="AC104" s="454">
        <v>31</v>
      </c>
      <c r="AE104" s="419" t="s">
        <v>1975</v>
      </c>
      <c r="AF104" s="454">
        <v>1</v>
      </c>
      <c r="AG104" s="429">
        <v>43101</v>
      </c>
      <c r="AJ104" s="430">
        <v>43132</v>
      </c>
      <c r="AL104" s="424" t="s">
        <v>1976</v>
      </c>
      <c r="AO104" s="445"/>
      <c r="AP104" s="454">
        <v>556646</v>
      </c>
      <c r="AQ104" s="431">
        <v>43122</v>
      </c>
      <c r="AT104" s="426"/>
      <c r="AU104" s="426"/>
      <c r="AV104" s="426"/>
      <c r="AY104" s="427" t="s">
        <v>1722</v>
      </c>
      <c r="AZ104" s="373"/>
      <c r="BB104" s="374" t="s">
        <v>1728</v>
      </c>
      <c r="BC104" s="445"/>
      <c r="BE104" s="448">
        <v>5</v>
      </c>
      <c r="BF104" s="449">
        <v>40</v>
      </c>
      <c r="BG104" s="428" t="s">
        <v>1764</v>
      </c>
      <c r="BH104" s="445"/>
      <c r="BI104" s="491"/>
      <c r="BJ104" s="491">
        <v>9</v>
      </c>
      <c r="BK104" s="445" t="s">
        <v>2732</v>
      </c>
      <c r="BL104" s="419" t="s">
        <v>2733</v>
      </c>
      <c r="BM104" s="445"/>
      <c r="BN104" s="419" t="s">
        <v>1765</v>
      </c>
      <c r="BO104" s="419" t="s">
        <v>1765</v>
      </c>
      <c r="BP104" s="419" t="s">
        <v>1765</v>
      </c>
      <c r="BQ104" s="419" t="s">
        <v>1269</v>
      </c>
      <c r="BR104" s="419"/>
      <c r="BS104" s="419"/>
      <c r="BT104" s="445"/>
      <c r="BU104" s="445"/>
      <c r="BV104" s="445"/>
      <c r="BW104" s="445" t="s">
        <v>1964</v>
      </c>
      <c r="BX104" s="445"/>
      <c r="BY104" s="445"/>
    </row>
    <row r="105" spans="1:77" ht="15">
      <c r="A105" s="370" t="s">
        <v>31</v>
      </c>
      <c r="B105" s="415" t="s">
        <v>132</v>
      </c>
      <c r="C105" s="416" t="s">
        <v>31</v>
      </c>
      <c r="D105" s="444">
        <v>0</v>
      </c>
      <c r="E105" s="415" t="s">
        <v>1716</v>
      </c>
      <c r="F105" s="444">
        <v>2</v>
      </c>
      <c r="G105" s="415" t="s">
        <v>1661</v>
      </c>
      <c r="H105" s="444">
        <v>78</v>
      </c>
      <c r="I105" s="417" t="s">
        <v>1632</v>
      </c>
      <c r="J105" s="444">
        <v>2</v>
      </c>
      <c r="K105" s="444">
        <v>1066</v>
      </c>
      <c r="L105" s="444">
        <v>0</v>
      </c>
      <c r="M105" s="444">
        <v>0</v>
      </c>
      <c r="N105" s="444">
        <v>234</v>
      </c>
      <c r="O105" s="444">
        <v>0</v>
      </c>
      <c r="P105" s="444">
        <v>0</v>
      </c>
      <c r="Q105" s="444">
        <v>7</v>
      </c>
      <c r="R105" s="444">
        <v>38</v>
      </c>
      <c r="S105" s="444">
        <v>12</v>
      </c>
      <c r="T105" s="444">
        <v>228</v>
      </c>
      <c r="U105" s="444">
        <v>13</v>
      </c>
      <c r="V105" s="444">
        <v>9</v>
      </c>
      <c r="W105" s="444">
        <v>156</v>
      </c>
      <c r="X105" s="418"/>
      <c r="Y105" s="445">
        <v>697</v>
      </c>
      <c r="Z105" s="420"/>
      <c r="AA105" s="421">
        <v>73.117000000000004</v>
      </c>
      <c r="AB105" s="421">
        <v>35.396999999999998</v>
      </c>
      <c r="AC105" s="454">
        <v>50</v>
      </c>
      <c r="AE105" s="419" t="s">
        <v>1978</v>
      </c>
      <c r="AF105" s="454">
        <v>1</v>
      </c>
      <c r="AG105" s="429">
        <v>43101</v>
      </c>
      <c r="AJ105" s="430">
        <v>43132</v>
      </c>
      <c r="AL105" s="424" t="s">
        <v>888</v>
      </c>
      <c r="AO105" s="445"/>
      <c r="AP105" s="454">
        <v>556617</v>
      </c>
      <c r="AQ105" s="431">
        <v>43077</v>
      </c>
      <c r="AT105" s="426"/>
      <c r="AU105" s="426"/>
      <c r="AV105" s="426"/>
      <c r="AY105" s="427" t="s">
        <v>1720</v>
      </c>
      <c r="AZ105" s="373"/>
      <c r="BB105" s="374" t="s">
        <v>1726</v>
      </c>
      <c r="BC105" s="445"/>
      <c r="BE105" s="448">
        <v>0</v>
      </c>
      <c r="BF105" s="449">
        <v>40</v>
      </c>
      <c r="BG105" s="428" t="s">
        <v>1764</v>
      </c>
      <c r="BH105" s="445"/>
      <c r="BI105" s="491"/>
      <c r="BJ105" s="491">
        <v>1</v>
      </c>
      <c r="BK105" s="445" t="s">
        <v>84</v>
      </c>
      <c r="BL105" s="419" t="s">
        <v>2734</v>
      </c>
      <c r="BM105" s="445"/>
      <c r="BN105" s="419" t="s">
        <v>1765</v>
      </c>
      <c r="BO105" s="419" t="s">
        <v>1765</v>
      </c>
      <c r="BP105" s="419" t="s">
        <v>1765</v>
      </c>
      <c r="BQ105" s="419" t="s">
        <v>31</v>
      </c>
      <c r="BR105" s="419"/>
      <c r="BS105" s="419"/>
      <c r="BT105" s="445"/>
      <c r="BU105" s="445"/>
      <c r="BV105" s="445"/>
      <c r="BW105" s="445" t="s">
        <v>1977</v>
      </c>
      <c r="BX105" s="445"/>
      <c r="BY105" s="445"/>
    </row>
    <row r="106" spans="1:77" ht="15">
      <c r="A106" s="370" t="s">
        <v>1269</v>
      </c>
      <c r="B106" s="415" t="s">
        <v>216</v>
      </c>
      <c r="C106" s="416" t="s">
        <v>1682</v>
      </c>
      <c r="D106" s="444">
        <v>0</v>
      </c>
      <c r="E106" s="415" t="s">
        <v>1718</v>
      </c>
      <c r="F106" s="444">
        <v>3</v>
      </c>
      <c r="G106" s="415" t="s">
        <v>1661</v>
      </c>
      <c r="H106" s="444">
        <v>17</v>
      </c>
      <c r="I106" s="417" t="s">
        <v>1664</v>
      </c>
      <c r="J106" s="444">
        <v>3.7</v>
      </c>
      <c r="K106" s="444">
        <v>226</v>
      </c>
      <c r="L106" s="444">
        <v>0</v>
      </c>
      <c r="M106" s="444">
        <v>1</v>
      </c>
      <c r="N106" s="444">
        <v>10</v>
      </c>
      <c r="O106" s="444">
        <v>0</v>
      </c>
      <c r="P106" s="444">
        <v>0</v>
      </c>
      <c r="Q106" s="444">
        <v>0</v>
      </c>
      <c r="R106" s="444">
        <v>0</v>
      </c>
      <c r="S106" s="444">
        <v>0</v>
      </c>
      <c r="T106" s="444">
        <v>0</v>
      </c>
      <c r="U106" s="444">
        <v>24</v>
      </c>
      <c r="V106" s="444">
        <v>7</v>
      </c>
      <c r="W106" s="444">
        <v>74</v>
      </c>
      <c r="X106" s="418"/>
      <c r="Y106" s="445">
        <v>116</v>
      </c>
      <c r="Z106" s="420"/>
      <c r="AA106" s="421">
        <v>74.436999999999998</v>
      </c>
      <c r="AB106" s="421">
        <v>29.978000000000002</v>
      </c>
      <c r="AC106" s="454">
        <v>9</v>
      </c>
      <c r="AE106" s="419" t="s">
        <v>1979</v>
      </c>
      <c r="AF106" s="454">
        <v>1</v>
      </c>
      <c r="AG106" s="429">
        <v>43101</v>
      </c>
      <c r="AJ106" s="430">
        <v>43137</v>
      </c>
      <c r="AL106" s="424" t="s">
        <v>1980</v>
      </c>
      <c r="AO106" s="445"/>
      <c r="AP106" s="454">
        <v>556650</v>
      </c>
      <c r="AQ106" s="431">
        <v>43137</v>
      </c>
      <c r="AT106" s="426"/>
      <c r="AU106" s="426"/>
      <c r="AV106" s="426"/>
      <c r="AY106" s="427" t="s">
        <v>1720</v>
      </c>
      <c r="AZ106" s="373"/>
      <c r="BB106" s="374" t="s">
        <v>1726</v>
      </c>
      <c r="BC106" s="445"/>
      <c r="BE106" s="448">
        <v>0</v>
      </c>
      <c r="BF106" s="449">
        <v>0</v>
      </c>
      <c r="BG106" s="428" t="s">
        <v>1764</v>
      </c>
      <c r="BH106" s="445"/>
      <c r="BI106" s="491"/>
      <c r="BJ106" s="491">
        <v>1</v>
      </c>
      <c r="BK106" s="445" t="s">
        <v>2735</v>
      </c>
      <c r="BL106" s="419" t="s">
        <v>2736</v>
      </c>
      <c r="BM106" s="445"/>
      <c r="BN106" s="419" t="s">
        <v>1765</v>
      </c>
      <c r="BO106" s="419" t="s">
        <v>1765</v>
      </c>
      <c r="BP106" s="419" t="s">
        <v>1765</v>
      </c>
      <c r="BQ106" s="419" t="s">
        <v>1269</v>
      </c>
      <c r="BR106" s="419"/>
      <c r="BS106" s="419"/>
      <c r="BT106" s="445"/>
      <c r="BU106" s="445"/>
      <c r="BV106" s="445"/>
      <c r="BW106" s="445" t="s">
        <v>1977</v>
      </c>
      <c r="BX106" s="445"/>
      <c r="BY106" s="445"/>
    </row>
    <row r="107" spans="1:77" ht="15">
      <c r="A107" s="370" t="s">
        <v>1269</v>
      </c>
      <c r="B107" s="415" t="s">
        <v>216</v>
      </c>
      <c r="C107" s="416" t="s">
        <v>1682</v>
      </c>
      <c r="D107" s="444">
        <v>0</v>
      </c>
      <c r="E107" s="415" t="s">
        <v>1716</v>
      </c>
      <c r="F107" s="444">
        <v>3</v>
      </c>
      <c r="G107" s="415" t="s">
        <v>1661</v>
      </c>
      <c r="H107" s="444">
        <v>33</v>
      </c>
      <c r="I107" s="417" t="s">
        <v>1664</v>
      </c>
      <c r="J107" s="444">
        <v>1.7</v>
      </c>
      <c r="K107" s="444">
        <v>111</v>
      </c>
      <c r="L107" s="444">
        <v>0</v>
      </c>
      <c r="M107" s="444">
        <v>0</v>
      </c>
      <c r="N107" s="444">
        <v>13</v>
      </c>
      <c r="O107" s="444">
        <v>0</v>
      </c>
      <c r="P107" s="444">
        <v>0</v>
      </c>
      <c r="Q107" s="444">
        <v>0</v>
      </c>
      <c r="R107" s="444">
        <v>0</v>
      </c>
      <c r="S107" s="444">
        <v>0</v>
      </c>
      <c r="T107" s="444">
        <v>0</v>
      </c>
      <c r="U107" s="444">
        <v>2</v>
      </c>
      <c r="V107" s="444">
        <v>0</v>
      </c>
      <c r="W107" s="444">
        <v>72</v>
      </c>
      <c r="X107" s="418"/>
      <c r="Y107" s="445">
        <v>87</v>
      </c>
      <c r="Z107" s="420"/>
      <c r="AA107" s="421">
        <v>68.626999999999995</v>
      </c>
      <c r="AB107" s="421">
        <v>29.978000000000002</v>
      </c>
      <c r="AC107" s="454">
        <v>5</v>
      </c>
      <c r="AE107" s="419" t="s">
        <v>1981</v>
      </c>
      <c r="AF107" s="454">
        <v>1</v>
      </c>
      <c r="AG107" s="429">
        <v>43101</v>
      </c>
      <c r="AJ107" s="430">
        <v>43137</v>
      </c>
      <c r="AL107" s="424" t="s">
        <v>928</v>
      </c>
      <c r="AO107" s="445"/>
      <c r="AP107" s="454">
        <v>556650</v>
      </c>
      <c r="AQ107" s="431">
        <v>43137</v>
      </c>
      <c r="AT107" s="426"/>
      <c r="AU107" s="426"/>
      <c r="AV107" s="426"/>
      <c r="AY107" s="427" t="s">
        <v>1720</v>
      </c>
      <c r="AZ107" s="373"/>
      <c r="BB107" s="374" t="s">
        <v>1726</v>
      </c>
      <c r="BC107" s="445"/>
      <c r="BE107" s="448">
        <v>0</v>
      </c>
      <c r="BF107" s="449">
        <v>0</v>
      </c>
      <c r="BG107" s="428" t="s">
        <v>1764</v>
      </c>
      <c r="BH107" s="445"/>
      <c r="BI107" s="491"/>
      <c r="BJ107" s="491">
        <v>2</v>
      </c>
      <c r="BK107" s="445" t="s">
        <v>2737</v>
      </c>
      <c r="BL107" s="419" t="s">
        <v>2738</v>
      </c>
      <c r="BM107" s="445"/>
      <c r="BN107" s="419" t="s">
        <v>1765</v>
      </c>
      <c r="BO107" s="419" t="s">
        <v>1765</v>
      </c>
      <c r="BP107" s="419" t="s">
        <v>1765</v>
      </c>
      <c r="BQ107" s="419" t="s">
        <v>1269</v>
      </c>
      <c r="BR107" s="419"/>
      <c r="BS107" s="419"/>
      <c r="BT107" s="445"/>
      <c r="BU107" s="445"/>
      <c r="BV107" s="445"/>
      <c r="BW107" s="445" t="s">
        <v>1977</v>
      </c>
      <c r="BX107" s="445"/>
      <c r="BY107" s="445"/>
    </row>
    <row r="108" spans="1:77" ht="15">
      <c r="A108" s="370" t="s">
        <v>1269</v>
      </c>
      <c r="B108" s="415" t="s">
        <v>216</v>
      </c>
      <c r="C108" s="416" t="s">
        <v>1682</v>
      </c>
      <c r="D108" s="444">
        <v>0</v>
      </c>
      <c r="E108" s="415" t="s">
        <v>1716</v>
      </c>
      <c r="F108" s="444">
        <v>3</v>
      </c>
      <c r="G108" s="415" t="s">
        <v>1661</v>
      </c>
      <c r="H108" s="444">
        <v>65</v>
      </c>
      <c r="I108" s="417" t="s">
        <v>1660</v>
      </c>
      <c r="J108" s="444">
        <v>3.2</v>
      </c>
      <c r="K108" s="444">
        <v>209</v>
      </c>
      <c r="L108" s="444">
        <v>0</v>
      </c>
      <c r="M108" s="444">
        <v>41</v>
      </c>
      <c r="N108" s="444">
        <v>0</v>
      </c>
      <c r="O108" s="444">
        <v>0</v>
      </c>
      <c r="P108" s="444">
        <v>0</v>
      </c>
      <c r="Q108" s="444">
        <v>0</v>
      </c>
      <c r="R108" s="444">
        <v>0</v>
      </c>
      <c r="S108" s="444">
        <v>0</v>
      </c>
      <c r="T108" s="444">
        <v>0</v>
      </c>
      <c r="U108" s="444">
        <v>1</v>
      </c>
      <c r="V108" s="444">
        <v>90</v>
      </c>
      <c r="W108" s="444">
        <v>4</v>
      </c>
      <c r="X108" s="418"/>
      <c r="Y108" s="445">
        <v>136</v>
      </c>
      <c r="Z108" s="420"/>
      <c r="AA108" s="421">
        <v>57.695</v>
      </c>
      <c r="AB108" s="421">
        <v>29.978000000000002</v>
      </c>
      <c r="AC108" s="454">
        <v>5</v>
      </c>
      <c r="AE108" s="419" t="s">
        <v>1982</v>
      </c>
      <c r="AF108" s="454">
        <v>1</v>
      </c>
      <c r="AG108" s="429">
        <v>43101</v>
      </c>
      <c r="AJ108" s="430">
        <v>43137</v>
      </c>
      <c r="AL108" s="424" t="s">
        <v>914</v>
      </c>
      <c r="AO108" s="445"/>
      <c r="AP108" s="454">
        <v>556650</v>
      </c>
      <c r="AQ108" s="431">
        <v>43137</v>
      </c>
      <c r="AT108" s="426"/>
      <c r="AU108" s="426"/>
      <c r="AV108" s="426"/>
      <c r="AY108" s="427" t="s">
        <v>1720</v>
      </c>
      <c r="AZ108" s="373"/>
      <c r="BB108" s="374" t="s">
        <v>1726</v>
      </c>
      <c r="BC108" s="445"/>
      <c r="BE108" s="448">
        <v>0</v>
      </c>
      <c r="BF108" s="449">
        <v>0</v>
      </c>
      <c r="BG108" s="428" t="s">
        <v>1764</v>
      </c>
      <c r="BH108" s="445"/>
      <c r="BI108" s="491"/>
      <c r="BJ108" s="491">
        <v>3</v>
      </c>
      <c r="BK108" s="445" t="s">
        <v>1902</v>
      </c>
      <c r="BL108" s="419" t="s">
        <v>2739</v>
      </c>
      <c r="BM108" s="445"/>
      <c r="BN108" s="419" t="s">
        <v>1765</v>
      </c>
      <c r="BO108" s="419" t="s">
        <v>1765</v>
      </c>
      <c r="BP108" s="419" t="s">
        <v>1765</v>
      </c>
      <c r="BQ108" s="419" t="s">
        <v>1269</v>
      </c>
      <c r="BR108" s="419"/>
      <c r="BS108" s="419"/>
      <c r="BT108" s="445"/>
      <c r="BU108" s="445"/>
      <c r="BV108" s="445"/>
      <c r="BW108" s="445" t="s">
        <v>1977</v>
      </c>
      <c r="BX108" s="445"/>
      <c r="BY108" s="445"/>
    </row>
    <row r="109" spans="1:77" ht="15">
      <c r="A109" s="370" t="s">
        <v>1269</v>
      </c>
      <c r="B109" s="415" t="s">
        <v>216</v>
      </c>
      <c r="C109" s="416" t="s">
        <v>1682</v>
      </c>
      <c r="D109" s="444">
        <v>0</v>
      </c>
      <c r="E109" s="415" t="s">
        <v>1716</v>
      </c>
      <c r="F109" s="444">
        <v>3</v>
      </c>
      <c r="G109" s="415" t="s">
        <v>1661</v>
      </c>
      <c r="H109" s="444">
        <v>67</v>
      </c>
      <c r="I109" s="417" t="s">
        <v>1687</v>
      </c>
      <c r="J109" s="444">
        <v>3.2</v>
      </c>
      <c r="K109" s="444">
        <v>251</v>
      </c>
      <c r="L109" s="444">
        <v>0</v>
      </c>
      <c r="M109" s="444">
        <v>45</v>
      </c>
      <c r="N109" s="444">
        <v>0</v>
      </c>
      <c r="O109" s="444">
        <v>0</v>
      </c>
      <c r="P109" s="444">
        <v>0</v>
      </c>
      <c r="Q109" s="444">
        <v>0</v>
      </c>
      <c r="R109" s="444">
        <v>0</v>
      </c>
      <c r="S109" s="444">
        <v>0</v>
      </c>
      <c r="T109" s="444">
        <v>0</v>
      </c>
      <c r="U109" s="444">
        <v>2</v>
      </c>
      <c r="V109" s="444">
        <v>91</v>
      </c>
      <c r="W109" s="444">
        <v>18</v>
      </c>
      <c r="X109" s="418"/>
      <c r="Y109" s="445">
        <v>156</v>
      </c>
      <c r="Z109" s="420"/>
      <c r="AA109" s="421">
        <v>61.311</v>
      </c>
      <c r="AB109" s="421">
        <v>29.978000000000002</v>
      </c>
      <c r="AC109" s="454">
        <v>11</v>
      </c>
      <c r="AE109" s="419" t="s">
        <v>1983</v>
      </c>
      <c r="AF109" s="454">
        <v>1</v>
      </c>
      <c r="AG109" s="429">
        <v>43101</v>
      </c>
      <c r="AJ109" s="430">
        <v>43137</v>
      </c>
      <c r="AL109" s="424" t="s">
        <v>1019</v>
      </c>
      <c r="AO109" s="445"/>
      <c r="AP109" s="454">
        <v>556650</v>
      </c>
      <c r="AQ109" s="431">
        <v>43137</v>
      </c>
      <c r="AT109" s="426"/>
      <c r="AU109" s="426"/>
      <c r="AV109" s="426"/>
      <c r="AY109" s="427" t="s">
        <v>1720</v>
      </c>
      <c r="AZ109" s="373"/>
      <c r="BB109" s="374" t="s">
        <v>1726</v>
      </c>
      <c r="BC109" s="445"/>
      <c r="BE109" s="448">
        <v>0</v>
      </c>
      <c r="BF109" s="449">
        <v>0</v>
      </c>
      <c r="BG109" s="428" t="s">
        <v>1764</v>
      </c>
      <c r="BH109" s="445"/>
      <c r="BI109" s="491"/>
      <c r="BJ109" s="491">
        <v>4</v>
      </c>
      <c r="BK109" s="445" t="s">
        <v>2740</v>
      </c>
      <c r="BL109" s="419" t="s">
        <v>2741</v>
      </c>
      <c r="BM109" s="445"/>
      <c r="BN109" s="419" t="s">
        <v>1765</v>
      </c>
      <c r="BO109" s="419" t="s">
        <v>1765</v>
      </c>
      <c r="BP109" s="419" t="s">
        <v>1765</v>
      </c>
      <c r="BQ109" s="419" t="s">
        <v>1269</v>
      </c>
      <c r="BR109" s="419"/>
      <c r="BS109" s="419"/>
      <c r="BT109" s="445"/>
      <c r="BU109" s="445"/>
      <c r="BV109" s="445"/>
      <c r="BW109" s="445" t="s">
        <v>1977</v>
      </c>
      <c r="BX109" s="445"/>
      <c r="BY109" s="445"/>
    </row>
    <row r="110" spans="1:77" ht="15">
      <c r="A110" s="370" t="s">
        <v>1269</v>
      </c>
      <c r="B110" s="415" t="s">
        <v>216</v>
      </c>
      <c r="C110" s="416" t="s">
        <v>1682</v>
      </c>
      <c r="D110" s="444">
        <v>0</v>
      </c>
      <c r="E110" s="415" t="s">
        <v>1716</v>
      </c>
      <c r="F110" s="444">
        <v>3</v>
      </c>
      <c r="G110" s="415" t="s">
        <v>1661</v>
      </c>
      <c r="H110" s="444">
        <v>94</v>
      </c>
      <c r="I110" s="417" t="s">
        <v>1664</v>
      </c>
      <c r="J110" s="444">
        <v>5.3</v>
      </c>
      <c r="K110" s="444">
        <v>371</v>
      </c>
      <c r="L110" s="444">
        <v>0</v>
      </c>
      <c r="M110" s="444">
        <v>0</v>
      </c>
      <c r="N110" s="444">
        <v>15</v>
      </c>
      <c r="O110" s="444">
        <v>0</v>
      </c>
      <c r="P110" s="444">
        <v>0</v>
      </c>
      <c r="Q110" s="444">
        <v>0</v>
      </c>
      <c r="R110" s="444">
        <v>0</v>
      </c>
      <c r="S110" s="444">
        <v>0</v>
      </c>
      <c r="T110" s="444">
        <v>0</v>
      </c>
      <c r="U110" s="444">
        <v>38</v>
      </c>
      <c r="V110" s="444">
        <v>1</v>
      </c>
      <c r="W110" s="444">
        <v>134</v>
      </c>
      <c r="X110" s="418"/>
      <c r="Y110" s="445">
        <v>188</v>
      </c>
      <c r="Z110" s="420"/>
      <c r="AA110" s="421">
        <v>75.290999999999997</v>
      </c>
      <c r="AB110" s="421">
        <v>29.978000000000002</v>
      </c>
      <c r="AC110" s="454">
        <v>11</v>
      </c>
      <c r="AE110" s="419" t="s">
        <v>1984</v>
      </c>
      <c r="AF110" s="454">
        <v>1</v>
      </c>
      <c r="AG110" s="429">
        <v>43101</v>
      </c>
      <c r="AJ110" s="430">
        <v>43137</v>
      </c>
      <c r="AL110" s="424" t="s">
        <v>1019</v>
      </c>
      <c r="AO110" s="445"/>
      <c r="AP110" s="454">
        <v>556650</v>
      </c>
      <c r="AQ110" s="431">
        <v>43137</v>
      </c>
      <c r="AT110" s="426"/>
      <c r="AU110" s="426"/>
      <c r="AV110" s="426"/>
      <c r="AY110" s="427" t="s">
        <v>1720</v>
      </c>
      <c r="AZ110" s="373"/>
      <c r="BB110" s="374" t="s">
        <v>1726</v>
      </c>
      <c r="BC110" s="445"/>
      <c r="BE110" s="448">
        <v>0</v>
      </c>
      <c r="BF110" s="449">
        <v>0</v>
      </c>
      <c r="BG110" s="428" t="s">
        <v>1764</v>
      </c>
      <c r="BH110" s="445"/>
      <c r="BI110" s="491"/>
      <c r="BJ110" s="491">
        <v>5</v>
      </c>
      <c r="BK110" s="445" t="s">
        <v>372</v>
      </c>
      <c r="BL110" s="419" t="s">
        <v>2742</v>
      </c>
      <c r="BM110" s="445"/>
      <c r="BN110" s="419" t="s">
        <v>1765</v>
      </c>
      <c r="BO110" s="419" t="s">
        <v>1765</v>
      </c>
      <c r="BP110" s="419" t="s">
        <v>1765</v>
      </c>
      <c r="BQ110" s="419" t="s">
        <v>1269</v>
      </c>
      <c r="BR110" s="419"/>
      <c r="BS110" s="419"/>
      <c r="BT110" s="445"/>
      <c r="BU110" s="445"/>
      <c r="BV110" s="445"/>
      <c r="BW110" s="445" t="s">
        <v>1977</v>
      </c>
      <c r="BX110" s="445"/>
      <c r="BY110" s="445"/>
    </row>
    <row r="111" spans="1:77" ht="15">
      <c r="A111" s="370" t="s">
        <v>1269</v>
      </c>
      <c r="B111" s="415" t="s">
        <v>216</v>
      </c>
      <c r="C111" s="416" t="s">
        <v>1682</v>
      </c>
      <c r="D111" s="444">
        <v>0</v>
      </c>
      <c r="E111" s="415" t="s">
        <v>1716</v>
      </c>
      <c r="F111" s="444">
        <v>3</v>
      </c>
      <c r="G111" s="415" t="s">
        <v>1661</v>
      </c>
      <c r="H111" s="444">
        <v>109</v>
      </c>
      <c r="I111" s="417" t="s">
        <v>1660</v>
      </c>
      <c r="J111" s="444">
        <v>9.6</v>
      </c>
      <c r="K111" s="444">
        <v>582</v>
      </c>
      <c r="L111" s="444">
        <v>0</v>
      </c>
      <c r="M111" s="444">
        <v>0</v>
      </c>
      <c r="N111" s="444">
        <v>23</v>
      </c>
      <c r="O111" s="444">
        <v>0</v>
      </c>
      <c r="P111" s="444">
        <v>0</v>
      </c>
      <c r="Q111" s="444">
        <v>0</v>
      </c>
      <c r="R111" s="444">
        <v>0</v>
      </c>
      <c r="S111" s="444">
        <v>0</v>
      </c>
      <c r="T111" s="444">
        <v>0</v>
      </c>
      <c r="U111" s="444">
        <v>0</v>
      </c>
      <c r="V111" s="444">
        <v>4</v>
      </c>
      <c r="W111" s="444">
        <v>211</v>
      </c>
      <c r="X111" s="418"/>
      <c r="Y111" s="445">
        <v>238</v>
      </c>
      <c r="Z111" s="420"/>
      <c r="AA111" s="421">
        <v>80.712000000000003</v>
      </c>
      <c r="AB111" s="421">
        <v>29.978000000000002</v>
      </c>
      <c r="AC111" s="454">
        <v>17</v>
      </c>
      <c r="AE111" s="419" t="s">
        <v>1985</v>
      </c>
      <c r="AF111" s="454">
        <v>1</v>
      </c>
      <c r="AG111" s="429">
        <v>43101</v>
      </c>
      <c r="AJ111" s="430">
        <v>43137</v>
      </c>
      <c r="AL111" s="424" t="s">
        <v>1019</v>
      </c>
      <c r="AO111" s="445"/>
      <c r="AP111" s="454">
        <v>556650</v>
      </c>
      <c r="AQ111" s="431">
        <v>43137</v>
      </c>
      <c r="AT111" s="426"/>
      <c r="AU111" s="426"/>
      <c r="AV111" s="426"/>
      <c r="AY111" s="427" t="s">
        <v>1720</v>
      </c>
      <c r="AZ111" s="373"/>
      <c r="BB111" s="374" t="s">
        <v>1726</v>
      </c>
      <c r="BC111" s="445"/>
      <c r="BE111" s="448">
        <v>0</v>
      </c>
      <c r="BF111" s="449">
        <v>0</v>
      </c>
      <c r="BG111" s="428" t="s">
        <v>1764</v>
      </c>
      <c r="BH111" s="445"/>
      <c r="BI111" s="491"/>
      <c r="BJ111" s="491">
        <v>6</v>
      </c>
      <c r="BK111" s="445" t="s">
        <v>2743</v>
      </c>
      <c r="BL111" s="419" t="s">
        <v>2744</v>
      </c>
      <c r="BM111" s="445"/>
      <c r="BN111" s="419" t="s">
        <v>1765</v>
      </c>
      <c r="BO111" s="419" t="s">
        <v>1765</v>
      </c>
      <c r="BP111" s="419" t="s">
        <v>1765</v>
      </c>
      <c r="BQ111" s="419" t="s">
        <v>1269</v>
      </c>
      <c r="BR111" s="419"/>
      <c r="BS111" s="419"/>
      <c r="BT111" s="445"/>
      <c r="BU111" s="445"/>
      <c r="BV111" s="445"/>
      <c r="BW111" s="445" t="s">
        <v>1977</v>
      </c>
      <c r="BX111" s="445"/>
      <c r="BY111" s="445"/>
    </row>
    <row r="112" spans="1:77" ht="15">
      <c r="A112" s="370" t="s">
        <v>1269</v>
      </c>
      <c r="B112" s="415" t="s">
        <v>216</v>
      </c>
      <c r="C112" s="416" t="s">
        <v>1682</v>
      </c>
      <c r="D112" s="444">
        <v>0</v>
      </c>
      <c r="E112" s="415" t="s">
        <v>1716</v>
      </c>
      <c r="F112" s="444">
        <v>3</v>
      </c>
      <c r="G112" s="415" t="s">
        <v>1661</v>
      </c>
      <c r="H112" s="444">
        <v>138</v>
      </c>
      <c r="I112" s="417" t="s">
        <v>1433</v>
      </c>
      <c r="J112" s="444">
        <v>7.7</v>
      </c>
      <c r="K112" s="444">
        <v>713</v>
      </c>
      <c r="L112" s="444">
        <v>0</v>
      </c>
      <c r="M112" s="444">
        <v>0</v>
      </c>
      <c r="N112" s="444">
        <v>0</v>
      </c>
      <c r="O112" s="444">
        <v>0</v>
      </c>
      <c r="P112" s="444">
        <v>0</v>
      </c>
      <c r="Q112" s="444">
        <v>0</v>
      </c>
      <c r="R112" s="444">
        <v>0</v>
      </c>
      <c r="S112" s="444">
        <v>0</v>
      </c>
      <c r="T112" s="444">
        <v>0</v>
      </c>
      <c r="U112" s="444">
        <v>0</v>
      </c>
      <c r="V112" s="444">
        <v>0</v>
      </c>
      <c r="W112" s="444">
        <v>185</v>
      </c>
      <c r="X112" s="418"/>
      <c r="Y112" s="445">
        <v>185</v>
      </c>
      <c r="Z112" s="420"/>
      <c r="AA112" s="421">
        <v>92.515000000000001</v>
      </c>
      <c r="AB112" s="421">
        <v>29.978000000000002</v>
      </c>
      <c r="AC112" s="454">
        <v>28</v>
      </c>
      <c r="AE112" s="419" t="s">
        <v>1986</v>
      </c>
      <c r="AF112" s="454">
        <v>1</v>
      </c>
      <c r="AG112" s="429">
        <v>43101</v>
      </c>
      <c r="AJ112" s="430">
        <v>43137</v>
      </c>
      <c r="AL112" s="424" t="s">
        <v>1987</v>
      </c>
      <c r="AO112" s="445"/>
      <c r="AP112" s="454">
        <v>556650</v>
      </c>
      <c r="AQ112" s="431">
        <v>43137</v>
      </c>
      <c r="AT112" s="426"/>
      <c r="AU112" s="426"/>
      <c r="AV112" s="426"/>
      <c r="AY112" s="427" t="s">
        <v>1720</v>
      </c>
      <c r="AZ112" s="373"/>
      <c r="BB112" s="374" t="s">
        <v>1726</v>
      </c>
      <c r="BC112" s="445"/>
      <c r="BE112" s="448">
        <v>0</v>
      </c>
      <c r="BF112" s="449">
        <v>0</v>
      </c>
      <c r="BG112" s="428" t="s">
        <v>1764</v>
      </c>
      <c r="BH112" s="445"/>
      <c r="BI112" s="491"/>
      <c r="BJ112" s="491">
        <v>7</v>
      </c>
      <c r="BK112" s="445" t="s">
        <v>2745</v>
      </c>
      <c r="BL112" s="419" t="s">
        <v>2746</v>
      </c>
      <c r="BM112" s="445"/>
      <c r="BN112" s="419" t="s">
        <v>1765</v>
      </c>
      <c r="BO112" s="419" t="s">
        <v>1765</v>
      </c>
      <c r="BP112" s="419" t="s">
        <v>1765</v>
      </c>
      <c r="BQ112" s="419" t="s">
        <v>1269</v>
      </c>
      <c r="BR112" s="419"/>
      <c r="BS112" s="419"/>
      <c r="BT112" s="445"/>
      <c r="BU112" s="445"/>
      <c r="BV112" s="445"/>
      <c r="BW112" s="445" t="s">
        <v>1977</v>
      </c>
      <c r="BX112" s="445"/>
      <c r="BY112" s="445"/>
    </row>
    <row r="113" spans="1:77" ht="15">
      <c r="A113" s="370" t="s">
        <v>1269</v>
      </c>
      <c r="B113" s="415" t="s">
        <v>216</v>
      </c>
      <c r="C113" s="416" t="s">
        <v>1784</v>
      </c>
      <c r="D113" s="444">
        <v>0</v>
      </c>
      <c r="E113" s="415" t="s">
        <v>1716</v>
      </c>
      <c r="F113" s="444">
        <v>3</v>
      </c>
      <c r="G113" s="415" t="s">
        <v>1661</v>
      </c>
      <c r="H113" s="444">
        <v>5</v>
      </c>
      <c r="I113" s="417" t="s">
        <v>1632</v>
      </c>
      <c r="J113" s="444">
        <v>1.8</v>
      </c>
      <c r="K113" s="444">
        <v>73</v>
      </c>
      <c r="L113" s="444">
        <v>0</v>
      </c>
      <c r="M113" s="444">
        <v>0</v>
      </c>
      <c r="N113" s="444">
        <v>0</v>
      </c>
      <c r="O113" s="444">
        <v>0</v>
      </c>
      <c r="P113" s="444">
        <v>0</v>
      </c>
      <c r="Q113" s="444">
        <v>0</v>
      </c>
      <c r="R113" s="444">
        <v>0</v>
      </c>
      <c r="S113" s="444">
        <v>0</v>
      </c>
      <c r="T113" s="444">
        <v>0</v>
      </c>
      <c r="U113" s="444">
        <v>0</v>
      </c>
      <c r="V113" s="444">
        <v>0</v>
      </c>
      <c r="W113" s="444">
        <v>5</v>
      </c>
      <c r="X113" s="418"/>
      <c r="Y113" s="445">
        <v>5</v>
      </c>
      <c r="Z113" s="420"/>
      <c r="AA113" s="421">
        <v>196.876</v>
      </c>
      <c r="AB113" s="421">
        <v>29.978000000000002</v>
      </c>
      <c r="AC113" s="454">
        <v>34</v>
      </c>
      <c r="AE113" s="419" t="s">
        <v>1988</v>
      </c>
      <c r="AF113" s="454">
        <v>1</v>
      </c>
      <c r="AG113" s="429">
        <v>43101</v>
      </c>
      <c r="AJ113" s="430">
        <v>43132</v>
      </c>
      <c r="AL113" s="424" t="s">
        <v>1018</v>
      </c>
      <c r="AO113" s="445"/>
      <c r="AP113" s="454">
        <v>556624</v>
      </c>
      <c r="AQ113" s="431">
        <v>43102</v>
      </c>
      <c r="AT113" s="426"/>
      <c r="AU113" s="426"/>
      <c r="AV113" s="426"/>
      <c r="AY113" s="427" t="s">
        <v>1720</v>
      </c>
      <c r="AZ113" s="373"/>
      <c r="BB113" s="374" t="s">
        <v>1726</v>
      </c>
      <c r="BC113" s="445"/>
      <c r="BE113" s="448">
        <v>0</v>
      </c>
      <c r="BF113" s="449">
        <v>0</v>
      </c>
      <c r="BG113" s="428" t="s">
        <v>1764</v>
      </c>
      <c r="BH113" s="445"/>
      <c r="BI113" s="491"/>
      <c r="BJ113" s="491">
        <v>8</v>
      </c>
      <c r="BK113" s="445" t="s">
        <v>112</v>
      </c>
      <c r="BL113" s="419" t="s">
        <v>2747</v>
      </c>
      <c r="BM113" s="445"/>
      <c r="BN113" s="419" t="s">
        <v>1765</v>
      </c>
      <c r="BO113" s="419" t="s">
        <v>1765</v>
      </c>
      <c r="BP113" s="419" t="s">
        <v>1765</v>
      </c>
      <c r="BQ113" s="419" t="s">
        <v>1269</v>
      </c>
      <c r="BR113" s="419"/>
      <c r="BS113" s="419"/>
      <c r="BT113" s="445"/>
      <c r="BU113" s="445"/>
      <c r="BV113" s="445"/>
      <c r="BW113" s="445" t="s">
        <v>1977</v>
      </c>
      <c r="BX113" s="445"/>
      <c r="BY113" s="445"/>
    </row>
    <row r="114" spans="1:77" ht="15">
      <c r="A114" s="370" t="s">
        <v>1269</v>
      </c>
      <c r="B114" s="415" t="s">
        <v>216</v>
      </c>
      <c r="C114" s="416" t="s">
        <v>1784</v>
      </c>
      <c r="D114" s="444">
        <v>0</v>
      </c>
      <c r="E114" s="415" t="s">
        <v>1716</v>
      </c>
      <c r="F114" s="444">
        <v>3</v>
      </c>
      <c r="G114" s="415" t="s">
        <v>1661</v>
      </c>
      <c r="H114" s="444">
        <v>127</v>
      </c>
      <c r="I114" s="417" t="s">
        <v>1660</v>
      </c>
      <c r="J114" s="444">
        <v>4.0999999999999996</v>
      </c>
      <c r="K114" s="444">
        <v>73</v>
      </c>
      <c r="L114" s="444">
        <v>0</v>
      </c>
      <c r="M114" s="444">
        <v>0</v>
      </c>
      <c r="N114" s="444">
        <v>0</v>
      </c>
      <c r="O114" s="444">
        <v>0</v>
      </c>
      <c r="P114" s="444">
        <v>0</v>
      </c>
      <c r="Q114" s="444">
        <v>0</v>
      </c>
      <c r="R114" s="444">
        <v>0</v>
      </c>
      <c r="S114" s="444">
        <v>0</v>
      </c>
      <c r="T114" s="444">
        <v>0</v>
      </c>
      <c r="U114" s="444">
        <v>0</v>
      </c>
      <c r="V114" s="444">
        <v>0</v>
      </c>
      <c r="W114" s="444">
        <v>6</v>
      </c>
      <c r="X114" s="418"/>
      <c r="Y114" s="445">
        <v>6</v>
      </c>
      <c r="Z114" s="420"/>
      <c r="AA114" s="421">
        <v>210.16300000000001</v>
      </c>
      <c r="AB114" s="421">
        <v>29.978000000000002</v>
      </c>
      <c r="AC114" s="454">
        <v>30</v>
      </c>
      <c r="AE114" s="419" t="s">
        <v>1989</v>
      </c>
      <c r="AF114" s="454">
        <v>1</v>
      </c>
      <c r="AG114" s="429">
        <v>43101</v>
      </c>
      <c r="AJ114" s="430">
        <v>43132</v>
      </c>
      <c r="AL114" s="424" t="s">
        <v>1019</v>
      </c>
      <c r="AO114" s="445"/>
      <c r="AP114" s="454">
        <v>556624</v>
      </c>
      <c r="AQ114" s="431">
        <v>43102</v>
      </c>
      <c r="AT114" s="426"/>
      <c r="AU114" s="426"/>
      <c r="AV114" s="426"/>
      <c r="AY114" s="427" t="s">
        <v>1720</v>
      </c>
      <c r="AZ114" s="373"/>
      <c r="BB114" s="374" t="s">
        <v>1726</v>
      </c>
      <c r="BC114" s="445"/>
      <c r="BE114" s="448">
        <v>0</v>
      </c>
      <c r="BF114" s="449">
        <v>0</v>
      </c>
      <c r="BG114" s="428" t="s">
        <v>1764</v>
      </c>
      <c r="BH114" s="445"/>
      <c r="BI114" s="491"/>
      <c r="BJ114" s="491">
        <v>9</v>
      </c>
      <c r="BK114" s="445" t="s">
        <v>2748</v>
      </c>
      <c r="BL114" s="419" t="s">
        <v>2749</v>
      </c>
      <c r="BM114" s="445"/>
      <c r="BN114" s="419" t="s">
        <v>1765</v>
      </c>
      <c r="BO114" s="419" t="s">
        <v>1765</v>
      </c>
      <c r="BP114" s="419" t="s">
        <v>1765</v>
      </c>
      <c r="BQ114" s="419" t="s">
        <v>1269</v>
      </c>
      <c r="BR114" s="419"/>
      <c r="BS114" s="419"/>
      <c r="BT114" s="445"/>
      <c r="BU114" s="445"/>
      <c r="BV114" s="445"/>
      <c r="BW114" s="445" t="s">
        <v>1977</v>
      </c>
      <c r="BX114" s="445"/>
      <c r="BY114" s="445"/>
    </row>
    <row r="115" spans="1:77" ht="15">
      <c r="A115" s="370" t="s">
        <v>1269</v>
      </c>
      <c r="B115" s="415" t="s">
        <v>177</v>
      </c>
      <c r="C115" s="416" t="s">
        <v>1682</v>
      </c>
      <c r="D115" s="444">
        <v>0</v>
      </c>
      <c r="E115" s="415" t="s">
        <v>1716</v>
      </c>
      <c r="F115" s="444">
        <v>3</v>
      </c>
      <c r="G115" s="415" t="s">
        <v>1661</v>
      </c>
      <c r="H115" s="444">
        <v>72</v>
      </c>
      <c r="I115" s="417" t="s">
        <v>1664</v>
      </c>
      <c r="J115" s="444">
        <v>1.1000000000000001</v>
      </c>
      <c r="K115" s="444">
        <v>56</v>
      </c>
      <c r="L115" s="444">
        <v>0</v>
      </c>
      <c r="M115" s="444">
        <v>1</v>
      </c>
      <c r="N115" s="444">
        <v>5</v>
      </c>
      <c r="O115" s="444">
        <v>0</v>
      </c>
      <c r="P115" s="444">
        <v>0</v>
      </c>
      <c r="Q115" s="444">
        <v>0</v>
      </c>
      <c r="R115" s="444">
        <v>0</v>
      </c>
      <c r="S115" s="444">
        <v>6</v>
      </c>
      <c r="T115" s="444">
        <v>11</v>
      </c>
      <c r="U115" s="444">
        <v>0</v>
      </c>
      <c r="V115" s="444">
        <v>0</v>
      </c>
      <c r="W115" s="444">
        <v>2</v>
      </c>
      <c r="X115" s="418"/>
      <c r="Y115" s="445">
        <v>25</v>
      </c>
      <c r="Z115" s="420"/>
      <c r="AA115" s="421">
        <v>74.629000000000005</v>
      </c>
      <c r="AB115" s="421">
        <v>29.978000000000002</v>
      </c>
      <c r="AC115" s="454">
        <v>1</v>
      </c>
      <c r="AE115" s="419" t="s">
        <v>1990</v>
      </c>
      <c r="AF115" s="454">
        <v>1</v>
      </c>
      <c r="AG115" s="429">
        <v>43101</v>
      </c>
      <c r="AJ115" s="430">
        <v>43132</v>
      </c>
      <c r="AL115" s="424" t="s">
        <v>920</v>
      </c>
      <c r="AO115" s="445"/>
      <c r="AP115" s="454">
        <v>556643</v>
      </c>
      <c r="AQ115" s="431">
        <v>43122</v>
      </c>
      <c r="AT115" s="426"/>
      <c r="AU115" s="426"/>
      <c r="AV115" s="426"/>
      <c r="AY115" s="427" t="s">
        <v>1717</v>
      </c>
      <c r="AZ115" s="373"/>
      <c r="BB115" s="374" t="s">
        <v>1727</v>
      </c>
      <c r="BC115" s="445"/>
      <c r="BE115" s="448">
        <v>0</v>
      </c>
      <c r="BF115" s="449">
        <v>0</v>
      </c>
      <c r="BG115" s="428" t="s">
        <v>1764</v>
      </c>
      <c r="BH115" s="445"/>
      <c r="BI115" s="491"/>
      <c r="BJ115" s="491">
        <v>1</v>
      </c>
      <c r="BK115" s="445" t="s">
        <v>2750</v>
      </c>
      <c r="BL115" s="419" t="s">
        <v>2751</v>
      </c>
      <c r="BM115" s="445"/>
      <c r="BN115" s="419" t="s">
        <v>1765</v>
      </c>
      <c r="BO115" s="419" t="s">
        <v>1765</v>
      </c>
      <c r="BP115" s="419" t="s">
        <v>1765</v>
      </c>
      <c r="BQ115" s="419" t="s">
        <v>1269</v>
      </c>
      <c r="BR115" s="419"/>
      <c r="BS115" s="419"/>
      <c r="BT115" s="445"/>
      <c r="BU115" s="445"/>
      <c r="BV115" s="445"/>
      <c r="BW115" s="445" t="s">
        <v>1977</v>
      </c>
      <c r="BX115" s="445"/>
      <c r="BY115" s="445"/>
    </row>
    <row r="116" spans="1:77" ht="15">
      <c r="A116" s="370" t="s">
        <v>1269</v>
      </c>
      <c r="B116" s="415" t="s">
        <v>177</v>
      </c>
      <c r="C116" s="416" t="s">
        <v>1682</v>
      </c>
      <c r="D116" s="444">
        <v>0</v>
      </c>
      <c r="E116" s="415" t="s">
        <v>1716</v>
      </c>
      <c r="F116" s="444">
        <v>3</v>
      </c>
      <c r="G116" s="415" t="s">
        <v>1661</v>
      </c>
      <c r="H116" s="444">
        <v>72</v>
      </c>
      <c r="I116" s="417" t="s">
        <v>1632</v>
      </c>
      <c r="J116" s="444">
        <v>0.9</v>
      </c>
      <c r="K116" s="444">
        <v>50</v>
      </c>
      <c r="L116" s="444">
        <v>0</v>
      </c>
      <c r="M116" s="444">
        <v>2</v>
      </c>
      <c r="N116" s="444">
        <v>3</v>
      </c>
      <c r="O116" s="444">
        <v>0</v>
      </c>
      <c r="P116" s="444">
        <v>0</v>
      </c>
      <c r="Q116" s="444">
        <v>0</v>
      </c>
      <c r="R116" s="444">
        <v>0</v>
      </c>
      <c r="S116" s="444">
        <v>8</v>
      </c>
      <c r="T116" s="444">
        <v>6</v>
      </c>
      <c r="U116" s="444">
        <v>0</v>
      </c>
      <c r="V116" s="444">
        <v>0</v>
      </c>
      <c r="W116" s="444">
        <v>1</v>
      </c>
      <c r="X116" s="418"/>
      <c r="Y116" s="445">
        <v>20</v>
      </c>
      <c r="Z116" s="420"/>
      <c r="AA116" s="421">
        <v>75.953999999999994</v>
      </c>
      <c r="AB116" s="421">
        <v>29.978000000000002</v>
      </c>
      <c r="AC116" s="454">
        <v>2</v>
      </c>
      <c r="AE116" s="419" t="s">
        <v>1991</v>
      </c>
      <c r="AF116" s="454">
        <v>1</v>
      </c>
      <c r="AG116" s="429">
        <v>43101</v>
      </c>
      <c r="AJ116" s="430">
        <v>43132</v>
      </c>
      <c r="AL116" s="424" t="s">
        <v>920</v>
      </c>
      <c r="AO116" s="445"/>
      <c r="AP116" s="454">
        <v>556643</v>
      </c>
      <c r="AQ116" s="431">
        <v>43122</v>
      </c>
      <c r="AT116" s="426"/>
      <c r="AU116" s="426"/>
      <c r="AV116" s="426"/>
      <c r="AY116" s="427" t="s">
        <v>1717</v>
      </c>
      <c r="AZ116" s="373"/>
      <c r="BB116" s="374" t="s">
        <v>1727</v>
      </c>
      <c r="BC116" s="445"/>
      <c r="BE116" s="448">
        <v>0</v>
      </c>
      <c r="BF116" s="449">
        <v>0</v>
      </c>
      <c r="BG116" s="428" t="s">
        <v>1764</v>
      </c>
      <c r="BH116" s="445"/>
      <c r="BI116" s="491"/>
      <c r="BJ116" s="491">
        <v>2</v>
      </c>
      <c r="BK116" s="445" t="s">
        <v>369</v>
      </c>
      <c r="BL116" s="419" t="s">
        <v>2752</v>
      </c>
      <c r="BM116" s="445"/>
      <c r="BN116" s="419" t="s">
        <v>1765</v>
      </c>
      <c r="BO116" s="419" t="s">
        <v>1765</v>
      </c>
      <c r="BP116" s="419" t="s">
        <v>1765</v>
      </c>
      <c r="BQ116" s="419" t="s">
        <v>1269</v>
      </c>
      <c r="BR116" s="419"/>
      <c r="BS116" s="419"/>
      <c r="BT116" s="445"/>
      <c r="BU116" s="445"/>
      <c r="BV116" s="445"/>
      <c r="BW116" s="445" t="s">
        <v>1977</v>
      </c>
      <c r="BX116" s="445"/>
      <c r="BY116" s="445"/>
    </row>
    <row r="117" spans="1:77" ht="15">
      <c r="A117" s="370" t="s">
        <v>1269</v>
      </c>
      <c r="B117" s="415" t="s">
        <v>177</v>
      </c>
      <c r="C117" s="416" t="s">
        <v>1682</v>
      </c>
      <c r="D117" s="444">
        <v>0</v>
      </c>
      <c r="E117" s="415" t="s">
        <v>1716</v>
      </c>
      <c r="F117" s="444">
        <v>3</v>
      </c>
      <c r="G117" s="415" t="s">
        <v>1661</v>
      </c>
      <c r="H117" s="444">
        <v>41</v>
      </c>
      <c r="I117" s="417" t="s">
        <v>1769</v>
      </c>
      <c r="J117" s="444">
        <v>2.9</v>
      </c>
      <c r="K117" s="444">
        <v>135</v>
      </c>
      <c r="L117" s="444">
        <v>0</v>
      </c>
      <c r="M117" s="444">
        <v>0</v>
      </c>
      <c r="N117" s="444">
        <v>7</v>
      </c>
      <c r="O117" s="444">
        <v>0</v>
      </c>
      <c r="P117" s="444">
        <v>0</v>
      </c>
      <c r="Q117" s="444">
        <v>0</v>
      </c>
      <c r="R117" s="444">
        <v>0</v>
      </c>
      <c r="S117" s="444">
        <v>4</v>
      </c>
      <c r="T117" s="444">
        <v>32</v>
      </c>
      <c r="U117" s="444">
        <v>0</v>
      </c>
      <c r="V117" s="444">
        <v>0</v>
      </c>
      <c r="W117" s="444">
        <v>3</v>
      </c>
      <c r="X117" s="418"/>
      <c r="Y117" s="445">
        <v>46</v>
      </c>
      <c r="Z117" s="420"/>
      <c r="AA117" s="421">
        <v>88.131</v>
      </c>
      <c r="AB117" s="421">
        <v>29.978000000000002</v>
      </c>
      <c r="AC117" s="454">
        <v>4</v>
      </c>
      <c r="AE117" s="419" t="s">
        <v>1992</v>
      </c>
      <c r="AF117" s="454">
        <v>1</v>
      </c>
      <c r="AG117" s="429">
        <v>43101</v>
      </c>
      <c r="AJ117" s="430">
        <v>43132</v>
      </c>
      <c r="AL117" s="424" t="s">
        <v>1681</v>
      </c>
      <c r="AO117" s="445"/>
      <c r="AP117" s="454">
        <v>556643</v>
      </c>
      <c r="AQ117" s="431">
        <v>43122</v>
      </c>
      <c r="AT117" s="426"/>
      <c r="AU117" s="426"/>
      <c r="AV117" s="426"/>
      <c r="AY117" s="427" t="s">
        <v>1717</v>
      </c>
      <c r="AZ117" s="373"/>
      <c r="BB117" s="374" t="s">
        <v>1727</v>
      </c>
      <c r="BC117" s="445"/>
      <c r="BE117" s="448">
        <v>0</v>
      </c>
      <c r="BF117" s="449">
        <v>0</v>
      </c>
      <c r="BG117" s="428" t="s">
        <v>1764</v>
      </c>
      <c r="BH117" s="445"/>
      <c r="BI117" s="491"/>
      <c r="BJ117" s="491">
        <v>3</v>
      </c>
      <c r="BK117" s="445" t="s">
        <v>107</v>
      </c>
      <c r="BL117" s="419" t="s">
        <v>2753</v>
      </c>
      <c r="BM117" s="445"/>
      <c r="BN117" s="419" t="s">
        <v>1765</v>
      </c>
      <c r="BO117" s="419" t="s">
        <v>1765</v>
      </c>
      <c r="BP117" s="419" t="s">
        <v>1765</v>
      </c>
      <c r="BQ117" s="419" t="s">
        <v>1269</v>
      </c>
      <c r="BR117" s="419"/>
      <c r="BS117" s="419"/>
      <c r="BT117" s="445"/>
      <c r="BU117" s="445"/>
      <c r="BV117" s="445"/>
      <c r="BW117" s="445" t="s">
        <v>1977</v>
      </c>
      <c r="BX117" s="445"/>
      <c r="BY117" s="445"/>
    </row>
    <row r="118" spans="1:77" ht="15">
      <c r="A118" s="370" t="s">
        <v>1269</v>
      </c>
      <c r="B118" s="415" t="s">
        <v>177</v>
      </c>
      <c r="C118" s="416" t="s">
        <v>1682</v>
      </c>
      <c r="D118" s="444">
        <v>0</v>
      </c>
      <c r="E118" s="415" t="s">
        <v>1716</v>
      </c>
      <c r="F118" s="444">
        <v>3</v>
      </c>
      <c r="G118" s="415" t="s">
        <v>1661</v>
      </c>
      <c r="H118" s="444">
        <v>32</v>
      </c>
      <c r="I118" s="417" t="s">
        <v>1686</v>
      </c>
      <c r="J118" s="444">
        <v>1.3</v>
      </c>
      <c r="K118" s="444">
        <v>53</v>
      </c>
      <c r="L118" s="444">
        <v>0</v>
      </c>
      <c r="M118" s="444">
        <v>0</v>
      </c>
      <c r="N118" s="444">
        <v>5</v>
      </c>
      <c r="O118" s="444">
        <v>0</v>
      </c>
      <c r="P118" s="444">
        <v>0</v>
      </c>
      <c r="Q118" s="444">
        <v>0</v>
      </c>
      <c r="R118" s="444">
        <v>0</v>
      </c>
      <c r="S118" s="444">
        <v>0</v>
      </c>
      <c r="T118" s="444">
        <v>24</v>
      </c>
      <c r="U118" s="444">
        <v>0</v>
      </c>
      <c r="V118" s="444">
        <v>0</v>
      </c>
      <c r="W118" s="444">
        <v>2</v>
      </c>
      <c r="X118" s="418"/>
      <c r="Y118" s="445">
        <v>31</v>
      </c>
      <c r="Z118" s="420"/>
      <c r="AA118" s="421">
        <v>71.531000000000006</v>
      </c>
      <c r="AB118" s="421">
        <v>29.978000000000002</v>
      </c>
      <c r="AC118" s="454">
        <v>2</v>
      </c>
      <c r="AE118" s="419" t="s">
        <v>1993</v>
      </c>
      <c r="AF118" s="454">
        <v>1</v>
      </c>
      <c r="AG118" s="429">
        <v>43101</v>
      </c>
      <c r="AJ118" s="430">
        <v>43132</v>
      </c>
      <c r="AL118" s="424" t="s">
        <v>1681</v>
      </c>
      <c r="AO118" s="445"/>
      <c r="AP118" s="454">
        <v>556643</v>
      </c>
      <c r="AQ118" s="431">
        <v>43122</v>
      </c>
      <c r="AT118" s="426"/>
      <c r="AU118" s="426"/>
      <c r="AV118" s="426"/>
      <c r="AY118" s="427" t="s">
        <v>1717</v>
      </c>
      <c r="AZ118" s="373"/>
      <c r="BB118" s="374" t="s">
        <v>1727</v>
      </c>
      <c r="BC118" s="445"/>
      <c r="BE118" s="448">
        <v>0</v>
      </c>
      <c r="BF118" s="449">
        <v>0</v>
      </c>
      <c r="BG118" s="428" t="s">
        <v>1764</v>
      </c>
      <c r="BH118" s="445"/>
      <c r="BI118" s="491"/>
      <c r="BJ118" s="491">
        <v>4</v>
      </c>
      <c r="BK118" s="445" t="s">
        <v>2754</v>
      </c>
      <c r="BL118" s="419" t="s">
        <v>2755</v>
      </c>
      <c r="BM118" s="445"/>
      <c r="BN118" s="419" t="s">
        <v>1765</v>
      </c>
      <c r="BO118" s="419" t="s">
        <v>1765</v>
      </c>
      <c r="BP118" s="419" t="s">
        <v>1765</v>
      </c>
      <c r="BQ118" s="419" t="s">
        <v>1269</v>
      </c>
      <c r="BR118" s="419"/>
      <c r="BS118" s="419"/>
      <c r="BT118" s="445"/>
      <c r="BU118" s="445"/>
      <c r="BV118" s="445"/>
      <c r="BW118" s="445" t="s">
        <v>1977</v>
      </c>
      <c r="BX118" s="445"/>
      <c r="BY118" s="445"/>
    </row>
    <row r="119" spans="1:77" ht="15">
      <c r="A119" s="370" t="s">
        <v>1269</v>
      </c>
      <c r="B119" s="415" t="s">
        <v>177</v>
      </c>
      <c r="C119" s="416" t="s">
        <v>1682</v>
      </c>
      <c r="D119" s="444">
        <v>0</v>
      </c>
      <c r="E119" s="415" t="s">
        <v>1716</v>
      </c>
      <c r="F119" s="444">
        <v>3</v>
      </c>
      <c r="G119" s="415" t="s">
        <v>1661</v>
      </c>
      <c r="H119" s="444">
        <v>58</v>
      </c>
      <c r="I119" s="417" t="s">
        <v>1687</v>
      </c>
      <c r="J119" s="444">
        <v>4.9000000000000004</v>
      </c>
      <c r="K119" s="444">
        <v>122</v>
      </c>
      <c r="L119" s="444">
        <v>0</v>
      </c>
      <c r="M119" s="444">
        <v>0</v>
      </c>
      <c r="N119" s="444">
        <v>1</v>
      </c>
      <c r="O119" s="444">
        <v>0</v>
      </c>
      <c r="P119" s="444">
        <v>0</v>
      </c>
      <c r="Q119" s="444">
        <v>0</v>
      </c>
      <c r="R119" s="444">
        <v>0</v>
      </c>
      <c r="S119" s="444">
        <v>4</v>
      </c>
      <c r="T119" s="444">
        <v>23</v>
      </c>
      <c r="U119" s="444">
        <v>0</v>
      </c>
      <c r="V119" s="444">
        <v>0</v>
      </c>
      <c r="W119" s="444">
        <v>1</v>
      </c>
      <c r="X119" s="418"/>
      <c r="Y119" s="445">
        <v>29</v>
      </c>
      <c r="Z119" s="420"/>
      <c r="AA119" s="421">
        <v>116.971</v>
      </c>
      <c r="AB119" s="421">
        <v>29.978000000000002</v>
      </c>
      <c r="AC119" s="454">
        <v>4</v>
      </c>
      <c r="AE119" s="419" t="s">
        <v>1994</v>
      </c>
      <c r="AF119" s="454">
        <v>1</v>
      </c>
      <c r="AG119" s="429">
        <v>43101</v>
      </c>
      <c r="AJ119" s="430">
        <v>43132</v>
      </c>
      <c r="AL119" s="424" t="s">
        <v>1015</v>
      </c>
      <c r="AO119" s="445"/>
      <c r="AP119" s="454">
        <v>556643</v>
      </c>
      <c r="AQ119" s="431">
        <v>43122</v>
      </c>
      <c r="AT119" s="426"/>
      <c r="AU119" s="426"/>
      <c r="AV119" s="426"/>
      <c r="AY119" s="427" t="s">
        <v>1717</v>
      </c>
      <c r="AZ119" s="373"/>
      <c r="BB119" s="374" t="s">
        <v>1727</v>
      </c>
      <c r="BC119" s="445"/>
      <c r="BE119" s="448">
        <v>0</v>
      </c>
      <c r="BF119" s="449">
        <v>0</v>
      </c>
      <c r="BG119" s="428" t="s">
        <v>1764</v>
      </c>
      <c r="BH119" s="445"/>
      <c r="BI119" s="491"/>
      <c r="BJ119" s="491">
        <v>5</v>
      </c>
      <c r="BK119" s="445" t="s">
        <v>2756</v>
      </c>
      <c r="BL119" s="419" t="s">
        <v>2757</v>
      </c>
      <c r="BM119" s="445"/>
      <c r="BN119" s="419" t="s">
        <v>1765</v>
      </c>
      <c r="BO119" s="419" t="s">
        <v>1765</v>
      </c>
      <c r="BP119" s="419" t="s">
        <v>1765</v>
      </c>
      <c r="BQ119" s="419" t="s">
        <v>1269</v>
      </c>
      <c r="BR119" s="419"/>
      <c r="BS119" s="419"/>
      <c r="BT119" s="445"/>
      <c r="BU119" s="445"/>
      <c r="BV119" s="445"/>
      <c r="BW119" s="445" t="s">
        <v>1977</v>
      </c>
      <c r="BX119" s="445"/>
      <c r="BY119" s="445"/>
    </row>
    <row r="120" spans="1:77" ht="15">
      <c r="A120" s="370" t="s">
        <v>1269</v>
      </c>
      <c r="B120" s="415" t="s">
        <v>132</v>
      </c>
      <c r="C120" s="416" t="s">
        <v>1682</v>
      </c>
      <c r="D120" s="444">
        <v>0</v>
      </c>
      <c r="E120" s="415" t="s">
        <v>1716</v>
      </c>
      <c r="F120" s="444">
        <v>3</v>
      </c>
      <c r="G120" s="415" t="s">
        <v>1661</v>
      </c>
      <c r="H120" s="444">
        <v>47</v>
      </c>
      <c r="I120" s="417" t="s">
        <v>1687</v>
      </c>
      <c r="J120" s="444">
        <v>0.5</v>
      </c>
      <c r="K120" s="444">
        <v>38</v>
      </c>
      <c r="L120" s="444">
        <v>0</v>
      </c>
      <c r="M120" s="444">
        <v>0</v>
      </c>
      <c r="N120" s="444">
        <v>0</v>
      </c>
      <c r="O120" s="444">
        <v>0</v>
      </c>
      <c r="P120" s="444">
        <v>0</v>
      </c>
      <c r="Q120" s="444">
        <v>0</v>
      </c>
      <c r="R120" s="444">
        <v>0</v>
      </c>
      <c r="S120" s="444">
        <v>0</v>
      </c>
      <c r="T120" s="444">
        <v>0</v>
      </c>
      <c r="U120" s="444">
        <v>3</v>
      </c>
      <c r="V120" s="444">
        <v>0</v>
      </c>
      <c r="W120" s="444">
        <v>9</v>
      </c>
      <c r="X120" s="418"/>
      <c r="Y120" s="445">
        <v>12</v>
      </c>
      <c r="Z120" s="420"/>
      <c r="AA120" s="421">
        <v>89.721999999999994</v>
      </c>
      <c r="AB120" s="421">
        <v>29.978000000000002</v>
      </c>
      <c r="AC120" s="454">
        <v>1</v>
      </c>
      <c r="AE120" s="419" t="s">
        <v>1995</v>
      </c>
      <c r="AF120" s="454">
        <v>1</v>
      </c>
      <c r="AG120" s="429">
        <v>43101</v>
      </c>
      <c r="AJ120" s="430">
        <v>43143</v>
      </c>
      <c r="AL120" s="424" t="s">
        <v>1012</v>
      </c>
      <c r="AO120" s="445"/>
      <c r="AP120" s="454">
        <v>556651</v>
      </c>
      <c r="AQ120" s="431">
        <v>43143</v>
      </c>
      <c r="AT120" s="426"/>
      <c r="AU120" s="426"/>
      <c r="AV120" s="426"/>
      <c r="AY120" s="427" t="s">
        <v>1720</v>
      </c>
      <c r="AZ120" s="373"/>
      <c r="BB120" s="374" t="s">
        <v>1726</v>
      </c>
      <c r="BC120" s="445"/>
      <c r="BE120" s="448">
        <v>0</v>
      </c>
      <c r="BF120" s="449">
        <v>0</v>
      </c>
      <c r="BG120" s="428" t="s">
        <v>1764</v>
      </c>
      <c r="BH120" s="445"/>
      <c r="BI120" s="491"/>
      <c r="BJ120" s="491">
        <v>2</v>
      </c>
      <c r="BK120" s="445" t="s">
        <v>2758</v>
      </c>
      <c r="BL120" s="419" t="s">
        <v>2759</v>
      </c>
      <c r="BM120" s="445"/>
      <c r="BN120" s="419" t="s">
        <v>1765</v>
      </c>
      <c r="BO120" s="419" t="s">
        <v>1765</v>
      </c>
      <c r="BP120" s="419" t="s">
        <v>1765</v>
      </c>
      <c r="BQ120" s="419" t="s">
        <v>1269</v>
      </c>
      <c r="BR120" s="419"/>
      <c r="BS120" s="419"/>
      <c r="BT120" s="445"/>
      <c r="BU120" s="445"/>
      <c r="BV120" s="445"/>
      <c r="BW120" s="445" t="s">
        <v>1977</v>
      </c>
      <c r="BX120" s="445"/>
      <c r="BY120" s="445"/>
    </row>
    <row r="121" spans="1:77" ht="15">
      <c r="A121" s="370" t="s">
        <v>1269</v>
      </c>
      <c r="B121" s="415" t="s">
        <v>132</v>
      </c>
      <c r="C121" s="416" t="s">
        <v>1682</v>
      </c>
      <c r="D121" s="444">
        <v>0</v>
      </c>
      <c r="E121" s="415" t="s">
        <v>1716</v>
      </c>
      <c r="F121" s="444">
        <v>3</v>
      </c>
      <c r="G121" s="415" t="s">
        <v>1661</v>
      </c>
      <c r="H121" s="444">
        <v>47</v>
      </c>
      <c r="I121" s="417" t="s">
        <v>1768</v>
      </c>
      <c r="J121" s="444">
        <v>0.6</v>
      </c>
      <c r="K121" s="444">
        <v>13</v>
      </c>
      <c r="L121" s="444">
        <v>0</v>
      </c>
      <c r="M121" s="444">
        <v>0</v>
      </c>
      <c r="N121" s="444">
        <v>0</v>
      </c>
      <c r="O121" s="444">
        <v>0</v>
      </c>
      <c r="P121" s="444">
        <v>0</v>
      </c>
      <c r="Q121" s="444">
        <v>0</v>
      </c>
      <c r="R121" s="444">
        <v>0</v>
      </c>
      <c r="S121" s="444">
        <v>0</v>
      </c>
      <c r="T121" s="444">
        <v>0</v>
      </c>
      <c r="U121" s="444">
        <v>0</v>
      </c>
      <c r="V121" s="444">
        <v>0</v>
      </c>
      <c r="W121" s="444">
        <v>4</v>
      </c>
      <c r="X121" s="418"/>
      <c r="Y121" s="445">
        <v>4</v>
      </c>
      <c r="Z121" s="420"/>
      <c r="AA121" s="421">
        <v>105.574</v>
      </c>
      <c r="AB121" s="421">
        <v>29.978000000000002</v>
      </c>
      <c r="AC121" s="454">
        <v>0</v>
      </c>
      <c r="AE121" s="419" t="s">
        <v>1996</v>
      </c>
      <c r="AF121" s="454">
        <v>1</v>
      </c>
      <c r="AG121" s="429">
        <v>43101</v>
      </c>
      <c r="AJ121" s="430">
        <v>43143</v>
      </c>
      <c r="AL121" s="424" t="s">
        <v>1012</v>
      </c>
      <c r="AO121" s="445"/>
      <c r="AP121" s="454">
        <v>556651</v>
      </c>
      <c r="AQ121" s="431">
        <v>43143</v>
      </c>
      <c r="AT121" s="426"/>
      <c r="AU121" s="426"/>
      <c r="AV121" s="426"/>
      <c r="AY121" s="427" t="s">
        <v>1720</v>
      </c>
      <c r="AZ121" s="373"/>
      <c r="BB121" s="374" t="s">
        <v>1726</v>
      </c>
      <c r="BC121" s="445"/>
      <c r="BE121" s="448">
        <v>0</v>
      </c>
      <c r="BF121" s="449">
        <v>0</v>
      </c>
      <c r="BG121" s="428" t="s">
        <v>1764</v>
      </c>
      <c r="BH121" s="445"/>
      <c r="BI121" s="491"/>
      <c r="BJ121" s="491">
        <v>3</v>
      </c>
      <c r="BK121" s="445" t="s">
        <v>2760</v>
      </c>
      <c r="BL121" s="419" t="s">
        <v>2761</v>
      </c>
      <c r="BM121" s="445"/>
      <c r="BN121" s="419" t="s">
        <v>1765</v>
      </c>
      <c r="BO121" s="419" t="s">
        <v>1765</v>
      </c>
      <c r="BP121" s="419" t="s">
        <v>1765</v>
      </c>
      <c r="BQ121" s="419" t="s">
        <v>1269</v>
      </c>
      <c r="BR121" s="419"/>
      <c r="BS121" s="419"/>
      <c r="BT121" s="445"/>
      <c r="BU121" s="445"/>
      <c r="BV121" s="445"/>
      <c r="BW121" s="445" t="s">
        <v>1977</v>
      </c>
      <c r="BX121" s="445"/>
      <c r="BY121" s="445"/>
    </row>
    <row r="122" spans="1:77" ht="15">
      <c r="A122" s="370" t="s">
        <v>1269</v>
      </c>
      <c r="B122" s="415" t="s">
        <v>132</v>
      </c>
      <c r="C122" s="416" t="s">
        <v>1682</v>
      </c>
      <c r="D122" s="444">
        <v>0</v>
      </c>
      <c r="E122" s="415" t="s">
        <v>1716</v>
      </c>
      <c r="F122" s="444">
        <v>3</v>
      </c>
      <c r="G122" s="415" t="s">
        <v>1661</v>
      </c>
      <c r="H122" s="444">
        <v>47</v>
      </c>
      <c r="I122" s="417" t="s">
        <v>1684</v>
      </c>
      <c r="J122" s="444">
        <v>0.8</v>
      </c>
      <c r="K122" s="444">
        <v>44</v>
      </c>
      <c r="L122" s="444">
        <v>0</v>
      </c>
      <c r="M122" s="444">
        <v>0</v>
      </c>
      <c r="N122" s="444">
        <v>0</v>
      </c>
      <c r="O122" s="444">
        <v>0</v>
      </c>
      <c r="P122" s="444">
        <v>0</v>
      </c>
      <c r="Q122" s="444">
        <v>0</v>
      </c>
      <c r="R122" s="444">
        <v>0</v>
      </c>
      <c r="S122" s="444">
        <v>0</v>
      </c>
      <c r="T122" s="444">
        <v>0</v>
      </c>
      <c r="U122" s="444">
        <v>0</v>
      </c>
      <c r="V122" s="444">
        <v>0</v>
      </c>
      <c r="W122" s="444">
        <v>15</v>
      </c>
      <c r="X122" s="418"/>
      <c r="Y122" s="445">
        <v>15</v>
      </c>
      <c r="Z122" s="420"/>
      <c r="AA122" s="421">
        <v>93.215999999999994</v>
      </c>
      <c r="AB122" s="421">
        <v>29.978000000000002</v>
      </c>
      <c r="AC122" s="454">
        <v>2</v>
      </c>
      <c r="AE122" s="419" t="s">
        <v>1997</v>
      </c>
      <c r="AF122" s="454">
        <v>1</v>
      </c>
      <c r="AG122" s="429">
        <v>43101</v>
      </c>
      <c r="AJ122" s="430">
        <v>43143</v>
      </c>
      <c r="AL122" s="424" t="s">
        <v>1012</v>
      </c>
      <c r="AO122" s="445"/>
      <c r="AP122" s="454">
        <v>556651</v>
      </c>
      <c r="AQ122" s="431">
        <v>43143</v>
      </c>
      <c r="AT122" s="426"/>
      <c r="AU122" s="426"/>
      <c r="AV122" s="426"/>
      <c r="AY122" s="427" t="s">
        <v>1720</v>
      </c>
      <c r="AZ122" s="373"/>
      <c r="BB122" s="374" t="s">
        <v>1726</v>
      </c>
      <c r="BC122" s="445"/>
      <c r="BE122" s="448">
        <v>0</v>
      </c>
      <c r="BF122" s="449">
        <v>0</v>
      </c>
      <c r="BG122" s="428" t="s">
        <v>1764</v>
      </c>
      <c r="BH122" s="445"/>
      <c r="BI122" s="491"/>
      <c r="BJ122" s="491">
        <v>4</v>
      </c>
      <c r="BK122" s="445" t="s">
        <v>2762</v>
      </c>
      <c r="BL122" s="419" t="s">
        <v>2763</v>
      </c>
      <c r="BM122" s="445"/>
      <c r="BN122" s="419" t="s">
        <v>1765</v>
      </c>
      <c r="BO122" s="419" t="s">
        <v>1765</v>
      </c>
      <c r="BP122" s="419" t="s">
        <v>1765</v>
      </c>
      <c r="BQ122" s="419" t="s">
        <v>1269</v>
      </c>
      <c r="BR122" s="419"/>
      <c r="BS122" s="419"/>
      <c r="BT122" s="445"/>
      <c r="BU122" s="445"/>
      <c r="BV122" s="445"/>
      <c r="BW122" s="445" t="s">
        <v>1977</v>
      </c>
      <c r="BX122" s="445"/>
      <c r="BY122" s="445"/>
    </row>
    <row r="123" spans="1:77" ht="15">
      <c r="A123" s="370" t="s">
        <v>1269</v>
      </c>
      <c r="B123" s="415" t="s">
        <v>132</v>
      </c>
      <c r="C123" s="416" t="s">
        <v>1682</v>
      </c>
      <c r="D123" s="444">
        <v>0</v>
      </c>
      <c r="E123" s="415" t="s">
        <v>1716</v>
      </c>
      <c r="F123" s="444">
        <v>3</v>
      </c>
      <c r="G123" s="415" t="s">
        <v>1661</v>
      </c>
      <c r="H123" s="444">
        <v>56</v>
      </c>
      <c r="I123" s="417" t="s">
        <v>1632</v>
      </c>
      <c r="J123" s="444">
        <v>9.6999999999999993</v>
      </c>
      <c r="K123" s="444">
        <v>651</v>
      </c>
      <c r="L123" s="444">
        <v>0</v>
      </c>
      <c r="M123" s="444">
        <v>0</v>
      </c>
      <c r="N123" s="444">
        <v>7</v>
      </c>
      <c r="O123" s="444">
        <v>0</v>
      </c>
      <c r="P123" s="444">
        <v>0</v>
      </c>
      <c r="Q123" s="444">
        <v>0</v>
      </c>
      <c r="R123" s="444">
        <v>0</v>
      </c>
      <c r="S123" s="444">
        <v>0</v>
      </c>
      <c r="T123" s="444">
        <v>0</v>
      </c>
      <c r="U123" s="444">
        <v>13</v>
      </c>
      <c r="V123" s="444">
        <v>0</v>
      </c>
      <c r="W123" s="444">
        <v>244</v>
      </c>
      <c r="X123" s="418"/>
      <c r="Y123" s="445">
        <v>264</v>
      </c>
      <c r="Z123" s="420"/>
      <c r="AA123" s="421">
        <v>83.545000000000002</v>
      </c>
      <c r="AB123" s="421">
        <v>29.978000000000002</v>
      </c>
      <c r="AC123" s="454">
        <v>20</v>
      </c>
      <c r="AE123" s="419" t="s">
        <v>1998</v>
      </c>
      <c r="AF123" s="454">
        <v>1</v>
      </c>
      <c r="AG123" s="429">
        <v>43101</v>
      </c>
      <c r="AJ123" s="430">
        <v>43143</v>
      </c>
      <c r="AL123" s="424" t="s">
        <v>1012</v>
      </c>
      <c r="AO123" s="445"/>
      <c r="AP123" s="454">
        <v>556651</v>
      </c>
      <c r="AQ123" s="431">
        <v>43143</v>
      </c>
      <c r="AT123" s="426"/>
      <c r="AU123" s="426"/>
      <c r="AV123" s="426"/>
      <c r="AY123" s="427" t="s">
        <v>1720</v>
      </c>
      <c r="AZ123" s="373"/>
      <c r="BB123" s="374" t="s">
        <v>1726</v>
      </c>
      <c r="BC123" s="445"/>
      <c r="BE123" s="448">
        <v>0</v>
      </c>
      <c r="BF123" s="449">
        <v>0</v>
      </c>
      <c r="BG123" s="428" t="s">
        <v>1764</v>
      </c>
      <c r="BH123" s="445"/>
      <c r="BI123" s="491"/>
      <c r="BJ123" s="491">
        <v>5</v>
      </c>
      <c r="BK123" s="445" t="s">
        <v>2764</v>
      </c>
      <c r="BL123" s="419" t="s">
        <v>2765</v>
      </c>
      <c r="BM123" s="445"/>
      <c r="BN123" s="419" t="s">
        <v>1765</v>
      </c>
      <c r="BO123" s="419" t="s">
        <v>1765</v>
      </c>
      <c r="BP123" s="419" t="s">
        <v>1765</v>
      </c>
      <c r="BQ123" s="419" t="s">
        <v>1269</v>
      </c>
      <c r="BR123" s="419"/>
      <c r="BS123" s="419"/>
      <c r="BT123" s="445"/>
      <c r="BU123" s="445"/>
      <c r="BV123" s="445"/>
      <c r="BW123" s="445" t="s">
        <v>1977</v>
      </c>
      <c r="BX123" s="445"/>
      <c r="BY123" s="445"/>
    </row>
    <row r="124" spans="1:77" ht="15">
      <c r="A124" s="370" t="s">
        <v>1269</v>
      </c>
      <c r="B124" s="415" t="s">
        <v>132</v>
      </c>
      <c r="C124" s="416" t="s">
        <v>1682</v>
      </c>
      <c r="D124" s="444">
        <v>0</v>
      </c>
      <c r="E124" s="415" t="s">
        <v>1716</v>
      </c>
      <c r="F124" s="444">
        <v>3</v>
      </c>
      <c r="G124" s="415" t="s">
        <v>1661</v>
      </c>
      <c r="H124" s="444">
        <v>93</v>
      </c>
      <c r="I124" s="417" t="s">
        <v>1664</v>
      </c>
      <c r="J124" s="444">
        <v>10.1</v>
      </c>
      <c r="K124" s="444">
        <v>245</v>
      </c>
      <c r="L124" s="444">
        <v>0</v>
      </c>
      <c r="M124" s="444">
        <v>0</v>
      </c>
      <c r="N124" s="444">
        <v>0</v>
      </c>
      <c r="O124" s="444">
        <v>0</v>
      </c>
      <c r="P124" s="444">
        <v>0</v>
      </c>
      <c r="Q124" s="444">
        <v>0</v>
      </c>
      <c r="R124" s="444">
        <v>0</v>
      </c>
      <c r="S124" s="444">
        <v>0</v>
      </c>
      <c r="T124" s="444">
        <v>0</v>
      </c>
      <c r="U124" s="444">
        <v>0</v>
      </c>
      <c r="V124" s="444">
        <v>0</v>
      </c>
      <c r="W124" s="444">
        <v>70</v>
      </c>
      <c r="X124" s="418"/>
      <c r="Y124" s="445">
        <v>70</v>
      </c>
      <c r="Z124" s="420"/>
      <c r="AA124" s="421">
        <v>111.727</v>
      </c>
      <c r="AB124" s="421">
        <v>29.978000000000002</v>
      </c>
      <c r="AC124" s="454">
        <v>11</v>
      </c>
      <c r="AE124" s="419" t="s">
        <v>1999</v>
      </c>
      <c r="AF124" s="454">
        <v>1</v>
      </c>
      <c r="AG124" s="429">
        <v>43101</v>
      </c>
      <c r="AJ124" s="430">
        <v>43143</v>
      </c>
      <c r="AL124" s="424" t="s">
        <v>919</v>
      </c>
      <c r="AO124" s="445"/>
      <c r="AP124" s="454">
        <v>556651</v>
      </c>
      <c r="AQ124" s="431">
        <v>43143</v>
      </c>
      <c r="AT124" s="426"/>
      <c r="AU124" s="426"/>
      <c r="AV124" s="426"/>
      <c r="AY124" s="427" t="s">
        <v>1720</v>
      </c>
      <c r="AZ124" s="373"/>
      <c r="BB124" s="374" t="s">
        <v>1726</v>
      </c>
      <c r="BC124" s="445"/>
      <c r="BE124" s="448">
        <v>0</v>
      </c>
      <c r="BF124" s="449">
        <v>0</v>
      </c>
      <c r="BG124" s="428" t="s">
        <v>1764</v>
      </c>
      <c r="BH124" s="445"/>
      <c r="BI124" s="491"/>
      <c r="BJ124" s="491">
        <v>6</v>
      </c>
      <c r="BK124" s="445" t="s">
        <v>61</v>
      </c>
      <c r="BL124" s="419" t="s">
        <v>2766</v>
      </c>
      <c r="BM124" s="445"/>
      <c r="BN124" s="419" t="s">
        <v>1765</v>
      </c>
      <c r="BO124" s="419" t="s">
        <v>1765</v>
      </c>
      <c r="BP124" s="419" t="s">
        <v>1765</v>
      </c>
      <c r="BQ124" s="419" t="s">
        <v>1269</v>
      </c>
      <c r="BR124" s="419"/>
      <c r="BS124" s="419"/>
      <c r="BT124" s="445"/>
      <c r="BU124" s="445"/>
      <c r="BV124" s="445"/>
      <c r="BW124" s="445" t="s">
        <v>1977</v>
      </c>
      <c r="BX124" s="445"/>
      <c r="BY124" s="445"/>
    </row>
    <row r="125" spans="1:77" ht="15">
      <c r="A125" s="370" t="s">
        <v>1269</v>
      </c>
      <c r="B125" s="415" t="s">
        <v>216</v>
      </c>
      <c r="C125" s="416" t="s">
        <v>1693</v>
      </c>
      <c r="D125" s="444">
        <v>0</v>
      </c>
      <c r="E125" s="415" t="s">
        <v>1718</v>
      </c>
      <c r="F125" s="444">
        <v>3</v>
      </c>
      <c r="G125" s="415" t="s">
        <v>1661</v>
      </c>
      <c r="H125" s="444">
        <v>22</v>
      </c>
      <c r="I125" s="417" t="s">
        <v>1769</v>
      </c>
      <c r="J125" s="444">
        <v>11.5</v>
      </c>
      <c r="K125" s="444">
        <v>3220</v>
      </c>
      <c r="L125" s="444">
        <v>0</v>
      </c>
      <c r="M125" s="444">
        <v>1</v>
      </c>
      <c r="N125" s="444">
        <v>2</v>
      </c>
      <c r="O125" s="444">
        <v>0</v>
      </c>
      <c r="P125" s="444">
        <v>0</v>
      </c>
      <c r="Q125" s="444">
        <v>0</v>
      </c>
      <c r="R125" s="444">
        <v>52</v>
      </c>
      <c r="S125" s="444">
        <v>123</v>
      </c>
      <c r="T125" s="444">
        <v>207</v>
      </c>
      <c r="U125" s="444">
        <v>0</v>
      </c>
      <c r="V125" s="444">
        <v>0</v>
      </c>
      <c r="W125" s="444">
        <v>0</v>
      </c>
      <c r="X125" s="418"/>
      <c r="Y125" s="445">
        <v>385</v>
      </c>
      <c r="Z125" s="420"/>
      <c r="AA125" s="421">
        <v>130.989</v>
      </c>
      <c r="AB125" s="421">
        <v>29.978000000000002</v>
      </c>
      <c r="AC125" s="454">
        <v>5</v>
      </c>
      <c r="AE125" s="419" t="s">
        <v>2000</v>
      </c>
      <c r="AF125" s="454">
        <v>1</v>
      </c>
      <c r="AG125" s="429">
        <v>43101</v>
      </c>
      <c r="AJ125" s="430">
        <v>43132</v>
      </c>
      <c r="AL125" s="424" t="s">
        <v>1980</v>
      </c>
      <c r="AO125" s="445"/>
      <c r="AP125" s="454">
        <v>556650</v>
      </c>
      <c r="AQ125" s="431">
        <v>43102</v>
      </c>
      <c r="AT125" s="426"/>
      <c r="AU125" s="426"/>
      <c r="AV125" s="426"/>
      <c r="AY125" s="427" t="s">
        <v>1720</v>
      </c>
      <c r="AZ125" s="373"/>
      <c r="BB125" s="374" t="s">
        <v>1726</v>
      </c>
      <c r="BC125" s="445"/>
      <c r="BE125" s="448">
        <v>0</v>
      </c>
      <c r="BF125" s="449">
        <v>0</v>
      </c>
      <c r="BG125" s="428" t="s">
        <v>1764</v>
      </c>
      <c r="BH125" s="445"/>
      <c r="BI125" s="491"/>
      <c r="BJ125" s="491">
        <v>10</v>
      </c>
      <c r="BK125" s="445" t="s">
        <v>2767</v>
      </c>
      <c r="BL125" s="419" t="s">
        <v>2768</v>
      </c>
      <c r="BM125" s="445"/>
      <c r="BN125" s="419" t="s">
        <v>1765</v>
      </c>
      <c r="BO125" s="419" t="s">
        <v>1765</v>
      </c>
      <c r="BP125" s="419" t="s">
        <v>1765</v>
      </c>
      <c r="BQ125" s="419" t="s">
        <v>1269</v>
      </c>
      <c r="BR125" s="419"/>
      <c r="BS125" s="419"/>
      <c r="BT125" s="445"/>
      <c r="BU125" s="445"/>
      <c r="BV125" s="445"/>
      <c r="BW125" s="445" t="s">
        <v>1977</v>
      </c>
      <c r="BX125" s="445"/>
      <c r="BY125" s="445"/>
    </row>
    <row r="126" spans="1:77" ht="15">
      <c r="A126" s="370" t="s">
        <v>1269</v>
      </c>
      <c r="B126" s="415" t="s">
        <v>216</v>
      </c>
      <c r="C126" s="416" t="s">
        <v>1784</v>
      </c>
      <c r="D126" s="444">
        <v>0</v>
      </c>
      <c r="E126" s="415" t="s">
        <v>1749</v>
      </c>
      <c r="F126" s="444">
        <v>3</v>
      </c>
      <c r="G126" s="415" t="s">
        <v>1750</v>
      </c>
      <c r="H126" s="444">
        <v>127</v>
      </c>
      <c r="I126" s="417" t="s">
        <v>1660</v>
      </c>
      <c r="J126" s="444">
        <v>4.0999999999999996</v>
      </c>
      <c r="K126" s="444">
        <v>450</v>
      </c>
      <c r="L126" s="444"/>
      <c r="M126" s="444">
        <v>0</v>
      </c>
      <c r="N126" s="444">
        <v>120</v>
      </c>
      <c r="O126" s="444"/>
      <c r="P126" s="444"/>
      <c r="Q126" s="444">
        <v>150</v>
      </c>
      <c r="R126" s="444"/>
      <c r="S126" s="444">
        <v>0</v>
      </c>
      <c r="T126" s="444">
        <v>0</v>
      </c>
      <c r="U126" s="444"/>
      <c r="V126" s="444">
        <v>0</v>
      </c>
      <c r="W126" s="444">
        <v>0</v>
      </c>
      <c r="X126" s="418"/>
      <c r="Y126" s="445">
        <v>270</v>
      </c>
      <c r="Z126" s="420"/>
      <c r="AA126" s="421">
        <v>221.93</v>
      </c>
      <c r="AB126" s="421"/>
      <c r="AC126" s="454">
        <v>23</v>
      </c>
      <c r="AE126" s="419" t="s">
        <v>2001</v>
      </c>
      <c r="AF126" s="454">
        <v>1</v>
      </c>
      <c r="AG126" s="429">
        <v>43101</v>
      </c>
      <c r="AJ126" s="430">
        <v>43132</v>
      </c>
      <c r="AL126" s="424" t="s">
        <v>1019</v>
      </c>
      <c r="AO126" s="445"/>
      <c r="AP126" s="454">
        <v>556624</v>
      </c>
      <c r="AQ126" s="431">
        <v>43102</v>
      </c>
      <c r="AR126" s="370">
        <v>0.4</v>
      </c>
      <c r="AT126" s="426"/>
      <c r="AU126" s="426"/>
      <c r="AV126" s="426"/>
      <c r="AY126" s="427" t="s">
        <v>1720</v>
      </c>
      <c r="AZ126" s="373"/>
      <c r="BB126" s="374" t="s">
        <v>1726</v>
      </c>
      <c r="BC126" s="445"/>
      <c r="BE126" s="448"/>
      <c r="BF126" s="449"/>
      <c r="BG126" s="428"/>
      <c r="BH126" s="445"/>
      <c r="BI126" s="491"/>
      <c r="BJ126" s="491">
        <v>11</v>
      </c>
      <c r="BK126" s="445" t="s">
        <v>2748</v>
      </c>
      <c r="BL126" s="419" t="s">
        <v>2749</v>
      </c>
      <c r="BM126" s="445"/>
      <c r="BN126" s="419"/>
      <c r="BO126" s="419"/>
      <c r="BP126" s="419"/>
      <c r="BQ126" s="419" t="s">
        <v>1269</v>
      </c>
      <c r="BR126" s="419">
        <v>5</v>
      </c>
      <c r="BS126" s="419"/>
      <c r="BT126" s="445"/>
      <c r="BU126" s="445"/>
      <c r="BV126" s="445"/>
      <c r="BW126" s="445" t="s">
        <v>1977</v>
      </c>
      <c r="BX126" s="445"/>
      <c r="BY126" s="445"/>
    </row>
    <row r="127" spans="1:77" ht="15">
      <c r="A127" s="370" t="s">
        <v>1269</v>
      </c>
      <c r="B127" s="415" t="s">
        <v>216</v>
      </c>
      <c r="C127" s="416" t="s">
        <v>1784</v>
      </c>
      <c r="D127" s="444">
        <v>0</v>
      </c>
      <c r="E127" s="415" t="s">
        <v>1749</v>
      </c>
      <c r="F127" s="444">
        <v>3</v>
      </c>
      <c r="G127" s="415" t="s">
        <v>1750</v>
      </c>
      <c r="H127" s="444">
        <v>5</v>
      </c>
      <c r="I127" s="417" t="s">
        <v>1632</v>
      </c>
      <c r="J127" s="444">
        <v>1.8</v>
      </c>
      <c r="K127" s="444">
        <v>450</v>
      </c>
      <c r="L127" s="444"/>
      <c r="M127" s="444">
        <v>0</v>
      </c>
      <c r="N127" s="444">
        <v>0</v>
      </c>
      <c r="O127" s="444"/>
      <c r="P127" s="444"/>
      <c r="Q127" s="444">
        <v>116.67</v>
      </c>
      <c r="R127" s="444"/>
      <c r="S127" s="444">
        <v>0</v>
      </c>
      <c r="T127" s="444">
        <v>100</v>
      </c>
      <c r="U127" s="444"/>
      <c r="V127" s="444">
        <v>0</v>
      </c>
      <c r="W127" s="444">
        <v>0</v>
      </c>
      <c r="X127" s="418"/>
      <c r="Y127" s="445">
        <v>216.67000000000002</v>
      </c>
      <c r="Z127" s="420"/>
      <c r="AA127" s="421">
        <v>128.74</v>
      </c>
      <c r="AB127" s="421"/>
      <c r="AC127" s="454">
        <v>23</v>
      </c>
      <c r="AE127" s="419" t="s">
        <v>2002</v>
      </c>
      <c r="AF127" s="454">
        <v>1</v>
      </c>
      <c r="AG127" s="429">
        <v>43101</v>
      </c>
      <c r="AJ127" s="430">
        <v>43132</v>
      </c>
      <c r="AL127" s="424" t="s">
        <v>1018</v>
      </c>
      <c r="AO127" s="445"/>
      <c r="AP127" s="454">
        <v>556624</v>
      </c>
      <c r="AQ127" s="431">
        <v>43102</v>
      </c>
      <c r="AR127" s="370">
        <v>0.5</v>
      </c>
      <c r="AT127" s="426"/>
      <c r="AU127" s="426"/>
      <c r="AV127" s="426"/>
      <c r="AY127" s="427" t="s">
        <v>1720</v>
      </c>
      <c r="AZ127" s="373"/>
      <c r="BB127" s="374" t="s">
        <v>1726</v>
      </c>
      <c r="BC127" s="445"/>
      <c r="BE127" s="448"/>
      <c r="BF127" s="449"/>
      <c r="BG127" s="428"/>
      <c r="BH127" s="445"/>
      <c r="BI127" s="491"/>
      <c r="BJ127" s="491">
        <v>10</v>
      </c>
      <c r="BK127" s="445" t="s">
        <v>112</v>
      </c>
      <c r="BL127" s="419" t="s">
        <v>2747</v>
      </c>
      <c r="BM127" s="445"/>
      <c r="BN127" s="419"/>
      <c r="BO127" s="419"/>
      <c r="BP127" s="419"/>
      <c r="BQ127" s="419" t="s">
        <v>1269</v>
      </c>
      <c r="BR127" s="419">
        <v>5</v>
      </c>
      <c r="BS127" s="419"/>
      <c r="BT127" s="445"/>
      <c r="BU127" s="445"/>
      <c r="BV127" s="445"/>
      <c r="BW127" s="445" t="s">
        <v>1977</v>
      </c>
      <c r="BX127" s="445"/>
      <c r="BY127" s="445"/>
    </row>
    <row r="128" spans="1:77" ht="15">
      <c r="A128" s="370" t="s">
        <v>1269</v>
      </c>
      <c r="B128" s="415" t="s">
        <v>216</v>
      </c>
      <c r="C128" s="416" t="s">
        <v>1784</v>
      </c>
      <c r="D128" s="444">
        <v>0</v>
      </c>
      <c r="E128" s="415" t="s">
        <v>1749</v>
      </c>
      <c r="F128" s="444">
        <v>3</v>
      </c>
      <c r="G128" s="415" t="s">
        <v>1750</v>
      </c>
      <c r="H128" s="444">
        <v>34</v>
      </c>
      <c r="I128" s="417" t="s">
        <v>1687</v>
      </c>
      <c r="J128" s="444">
        <v>0.5</v>
      </c>
      <c r="K128" s="444">
        <v>450</v>
      </c>
      <c r="L128" s="444"/>
      <c r="M128" s="444">
        <v>0</v>
      </c>
      <c r="N128" s="444">
        <v>60</v>
      </c>
      <c r="O128" s="444"/>
      <c r="P128" s="444"/>
      <c r="Q128" s="444">
        <v>0</v>
      </c>
      <c r="R128" s="444"/>
      <c r="S128" s="444">
        <v>0</v>
      </c>
      <c r="T128" s="444">
        <v>0</v>
      </c>
      <c r="U128" s="444"/>
      <c r="V128" s="444">
        <v>0</v>
      </c>
      <c r="W128" s="444">
        <v>0</v>
      </c>
      <c r="X128" s="418"/>
      <c r="Y128" s="445">
        <v>60</v>
      </c>
      <c r="Z128" s="420"/>
      <c r="AA128" s="421">
        <v>212.86</v>
      </c>
      <c r="AB128" s="421"/>
      <c r="AC128" s="454">
        <v>23</v>
      </c>
      <c r="AE128" s="419" t="s">
        <v>2003</v>
      </c>
      <c r="AF128" s="454">
        <v>1</v>
      </c>
      <c r="AG128" s="429">
        <v>43101</v>
      </c>
      <c r="AJ128" s="430">
        <v>43132</v>
      </c>
      <c r="AL128" s="424" t="s">
        <v>928</v>
      </c>
      <c r="AO128" s="445"/>
      <c r="AP128" s="454">
        <v>556624</v>
      </c>
      <c r="AQ128" s="431">
        <v>43102</v>
      </c>
      <c r="AR128" s="370">
        <v>0.4</v>
      </c>
      <c r="AT128" s="426"/>
      <c r="AU128" s="426"/>
      <c r="AV128" s="426"/>
      <c r="AY128" s="427" t="s">
        <v>1720</v>
      </c>
      <c r="AZ128" s="373"/>
      <c r="BB128" s="374" t="s">
        <v>1726</v>
      </c>
      <c r="BC128" s="445"/>
      <c r="BE128" s="448"/>
      <c r="BF128" s="449"/>
      <c r="BG128" s="428"/>
      <c r="BH128" s="445"/>
      <c r="BI128" s="491"/>
      <c r="BJ128" s="491">
        <v>12</v>
      </c>
      <c r="BK128" s="445" t="s">
        <v>2769</v>
      </c>
      <c r="BL128" s="419" t="s">
        <v>2770</v>
      </c>
      <c r="BM128" s="445"/>
      <c r="BN128" s="419"/>
      <c r="BO128" s="419"/>
      <c r="BP128" s="419"/>
      <c r="BQ128" s="419" t="s">
        <v>1269</v>
      </c>
      <c r="BR128" s="419">
        <v>2</v>
      </c>
      <c r="BS128" s="419"/>
      <c r="BT128" s="445"/>
      <c r="BU128" s="445"/>
      <c r="BV128" s="445"/>
      <c r="BW128" s="445" t="s">
        <v>1977</v>
      </c>
      <c r="BX128" s="445"/>
      <c r="BY128" s="445"/>
    </row>
    <row r="129" spans="1:77" ht="15">
      <c r="A129" s="370" t="s">
        <v>1783</v>
      </c>
      <c r="B129" s="415" t="s">
        <v>216</v>
      </c>
      <c r="C129" s="416" t="s">
        <v>1784</v>
      </c>
      <c r="D129" s="444">
        <v>0</v>
      </c>
      <c r="E129" s="415" t="s">
        <v>1749</v>
      </c>
      <c r="F129" s="444">
        <v>3</v>
      </c>
      <c r="G129" s="415" t="s">
        <v>1750</v>
      </c>
      <c r="H129" s="444">
        <v>34</v>
      </c>
      <c r="I129" s="417" t="s">
        <v>1768</v>
      </c>
      <c r="J129" s="444">
        <v>1.4</v>
      </c>
      <c r="K129" s="444">
        <v>450</v>
      </c>
      <c r="L129" s="444"/>
      <c r="M129" s="444">
        <v>0</v>
      </c>
      <c r="N129" s="444">
        <v>0</v>
      </c>
      <c r="O129" s="444"/>
      <c r="P129" s="444"/>
      <c r="Q129" s="444">
        <v>200</v>
      </c>
      <c r="R129" s="444"/>
      <c r="S129" s="444">
        <v>0</v>
      </c>
      <c r="T129" s="444">
        <v>0</v>
      </c>
      <c r="U129" s="444"/>
      <c r="V129" s="444">
        <v>0</v>
      </c>
      <c r="W129" s="444">
        <v>0</v>
      </c>
      <c r="X129" s="418"/>
      <c r="Y129" s="445">
        <v>200</v>
      </c>
      <c r="Z129" s="420"/>
      <c r="AA129" s="421">
        <v>175.65</v>
      </c>
      <c r="AB129" s="421"/>
      <c r="AC129" s="454">
        <v>23</v>
      </c>
      <c r="AE129" s="419" t="s">
        <v>2309</v>
      </c>
      <c r="AF129" s="454">
        <v>1</v>
      </c>
      <c r="AG129" s="429">
        <v>43101</v>
      </c>
      <c r="AJ129" s="430">
        <v>43132</v>
      </c>
      <c r="AL129" s="424" t="s">
        <v>928</v>
      </c>
      <c r="AO129" s="445"/>
      <c r="AP129" s="454">
        <v>556624</v>
      </c>
      <c r="AQ129" s="431">
        <v>43102</v>
      </c>
      <c r="AR129" s="370">
        <v>0.5</v>
      </c>
      <c r="AT129" s="426"/>
      <c r="AU129" s="426"/>
      <c r="AV129" s="426"/>
      <c r="AY129" s="427" t="s">
        <v>1720</v>
      </c>
      <c r="AZ129" s="373"/>
      <c r="BB129" s="374" t="s">
        <v>1726</v>
      </c>
      <c r="BC129" s="445"/>
      <c r="BE129" s="448"/>
      <c r="BF129" s="449"/>
      <c r="BG129" s="428"/>
      <c r="BH129" s="445"/>
      <c r="BI129" s="491"/>
      <c r="BJ129" s="491">
        <v>14</v>
      </c>
      <c r="BK129" s="445" t="s">
        <v>2771</v>
      </c>
      <c r="BL129" s="419" t="s">
        <v>2772</v>
      </c>
      <c r="BM129" s="445"/>
      <c r="BN129" s="419"/>
      <c r="BO129" s="419"/>
      <c r="BP129" s="419"/>
      <c r="BQ129" s="419" t="s">
        <v>1783</v>
      </c>
      <c r="BR129" s="419">
        <v>2</v>
      </c>
      <c r="BS129" s="419"/>
      <c r="BT129" s="445"/>
      <c r="BU129" s="445"/>
      <c r="BV129" s="445"/>
      <c r="BW129" s="445" t="s">
        <v>1977</v>
      </c>
      <c r="BX129" s="445"/>
      <c r="BY129" s="445"/>
    </row>
    <row r="130" spans="1:77" ht="15">
      <c r="A130" s="370" t="s">
        <v>1269</v>
      </c>
      <c r="B130" s="415" t="s">
        <v>85</v>
      </c>
      <c r="C130" s="416" t="s">
        <v>1682</v>
      </c>
      <c r="D130" s="444">
        <v>0</v>
      </c>
      <c r="E130" s="415" t="s">
        <v>1718</v>
      </c>
      <c r="F130" s="444">
        <v>3</v>
      </c>
      <c r="G130" s="415" t="s">
        <v>1661</v>
      </c>
      <c r="H130" s="444">
        <v>34</v>
      </c>
      <c r="I130" s="417" t="s">
        <v>1683</v>
      </c>
      <c r="J130" s="444">
        <v>31.1</v>
      </c>
      <c r="K130" s="444">
        <v>1300</v>
      </c>
      <c r="L130" s="444">
        <v>0</v>
      </c>
      <c r="M130" s="444">
        <v>50</v>
      </c>
      <c r="N130" s="444">
        <v>0</v>
      </c>
      <c r="O130" s="444">
        <v>0</v>
      </c>
      <c r="P130" s="444">
        <v>0</v>
      </c>
      <c r="Q130" s="444">
        <v>0</v>
      </c>
      <c r="R130" s="444">
        <v>0</v>
      </c>
      <c r="S130" s="444">
        <v>693</v>
      </c>
      <c r="T130" s="444">
        <v>0</v>
      </c>
      <c r="U130" s="444">
        <v>0</v>
      </c>
      <c r="V130" s="444">
        <v>300</v>
      </c>
      <c r="W130" s="444">
        <v>0</v>
      </c>
      <c r="X130" s="418"/>
      <c r="Y130" s="445">
        <v>1043</v>
      </c>
      <c r="Z130" s="420"/>
      <c r="AA130" s="421">
        <v>64.561999999999998</v>
      </c>
      <c r="AB130" s="421">
        <v>29.978000000000002</v>
      </c>
      <c r="AC130" s="454">
        <v>111</v>
      </c>
      <c r="AE130" s="419" t="s">
        <v>2004</v>
      </c>
      <c r="AF130" s="454">
        <v>1</v>
      </c>
      <c r="AG130" s="429">
        <v>43101</v>
      </c>
      <c r="AJ130" s="430">
        <v>43151</v>
      </c>
      <c r="AL130" s="424" t="s">
        <v>910</v>
      </c>
      <c r="AO130" s="445"/>
      <c r="AP130" s="454">
        <v>556652</v>
      </c>
      <c r="AQ130" s="431">
        <v>43151</v>
      </c>
      <c r="AT130" s="426"/>
      <c r="AU130" s="426"/>
      <c r="AV130" s="426"/>
      <c r="AY130" s="427" t="s">
        <v>1717</v>
      </c>
      <c r="AZ130" s="373"/>
      <c r="BB130" s="374" t="s">
        <v>1727</v>
      </c>
      <c r="BC130" s="445"/>
      <c r="BE130" s="448">
        <v>0</v>
      </c>
      <c r="BF130" s="449">
        <v>0</v>
      </c>
      <c r="BG130" s="428" t="s">
        <v>1764</v>
      </c>
      <c r="BH130" s="445"/>
      <c r="BI130" s="491"/>
      <c r="BJ130" s="491">
        <v>1</v>
      </c>
      <c r="BK130" s="445" t="s">
        <v>342</v>
      </c>
      <c r="BL130" s="419" t="s">
        <v>2773</v>
      </c>
      <c r="BM130" s="445"/>
      <c r="BN130" s="419" t="s">
        <v>1765</v>
      </c>
      <c r="BO130" s="419" t="s">
        <v>1765</v>
      </c>
      <c r="BP130" s="419" t="s">
        <v>1765</v>
      </c>
      <c r="BQ130" s="419" t="s">
        <v>1269</v>
      </c>
      <c r="BR130" s="419"/>
      <c r="BS130" s="419"/>
      <c r="BT130" s="445"/>
      <c r="BU130" s="445"/>
      <c r="BV130" s="445"/>
      <c r="BW130" s="445" t="s">
        <v>1977</v>
      </c>
      <c r="BX130" s="445"/>
      <c r="BY130" s="445"/>
    </row>
    <row r="131" spans="1:77" ht="15">
      <c r="A131" s="370" t="s">
        <v>1269</v>
      </c>
      <c r="B131" s="415" t="s">
        <v>85</v>
      </c>
      <c r="C131" s="416" t="s">
        <v>1682</v>
      </c>
      <c r="D131" s="444">
        <v>0</v>
      </c>
      <c r="E131" s="415" t="s">
        <v>1718</v>
      </c>
      <c r="F131" s="444">
        <v>3</v>
      </c>
      <c r="G131" s="415" t="s">
        <v>1661</v>
      </c>
      <c r="H131" s="444">
        <v>38</v>
      </c>
      <c r="I131" s="417" t="s">
        <v>1425</v>
      </c>
      <c r="J131" s="444">
        <v>20.7</v>
      </c>
      <c r="K131" s="444">
        <v>686</v>
      </c>
      <c r="L131" s="444">
        <v>0</v>
      </c>
      <c r="M131" s="444">
        <v>311</v>
      </c>
      <c r="N131" s="444">
        <v>0</v>
      </c>
      <c r="O131" s="444">
        <v>0</v>
      </c>
      <c r="P131" s="444">
        <v>0</v>
      </c>
      <c r="Q131" s="444">
        <v>0</v>
      </c>
      <c r="R131" s="444">
        <v>0</v>
      </c>
      <c r="S131" s="444">
        <v>140</v>
      </c>
      <c r="T131" s="444">
        <v>0</v>
      </c>
      <c r="U131" s="444">
        <v>0</v>
      </c>
      <c r="V131" s="444">
        <v>150</v>
      </c>
      <c r="W131" s="444">
        <v>37</v>
      </c>
      <c r="X131" s="418"/>
      <c r="Y131" s="445">
        <v>638</v>
      </c>
      <c r="Z131" s="420"/>
      <c r="AA131" s="421">
        <v>48.04</v>
      </c>
      <c r="AB131" s="421">
        <v>29.978000000000002</v>
      </c>
      <c r="AC131" s="454">
        <v>69</v>
      </c>
      <c r="AE131" s="419" t="s">
        <v>2005</v>
      </c>
      <c r="AF131" s="454">
        <v>1</v>
      </c>
      <c r="AG131" s="429">
        <v>43101</v>
      </c>
      <c r="AJ131" s="430">
        <v>43151</v>
      </c>
      <c r="AL131" s="424" t="s">
        <v>910</v>
      </c>
      <c r="AO131" s="445"/>
      <c r="AP131" s="454">
        <v>556652</v>
      </c>
      <c r="AQ131" s="431">
        <v>43151</v>
      </c>
      <c r="AT131" s="426"/>
      <c r="AU131" s="426"/>
      <c r="AV131" s="426"/>
      <c r="AY131" s="427" t="s">
        <v>1717</v>
      </c>
      <c r="AZ131" s="373"/>
      <c r="BB131" s="374" t="s">
        <v>1727</v>
      </c>
      <c r="BC131" s="445"/>
      <c r="BE131" s="448">
        <v>0</v>
      </c>
      <c r="BF131" s="449">
        <v>0</v>
      </c>
      <c r="BG131" s="428" t="s">
        <v>1764</v>
      </c>
      <c r="BH131" s="445"/>
      <c r="BI131" s="491"/>
      <c r="BJ131" s="491">
        <v>2</v>
      </c>
      <c r="BK131" s="445" t="s">
        <v>2774</v>
      </c>
      <c r="BL131" s="419" t="s">
        <v>2775</v>
      </c>
      <c r="BM131" s="445"/>
      <c r="BN131" s="419" t="s">
        <v>1765</v>
      </c>
      <c r="BO131" s="419" t="s">
        <v>1765</v>
      </c>
      <c r="BP131" s="419" t="s">
        <v>1765</v>
      </c>
      <c r="BQ131" s="419" t="s">
        <v>1269</v>
      </c>
      <c r="BR131" s="419"/>
      <c r="BS131" s="419"/>
      <c r="BT131" s="445"/>
      <c r="BU131" s="445"/>
      <c r="BV131" s="445"/>
      <c r="BW131" s="445" t="s">
        <v>1977</v>
      </c>
      <c r="BX131" s="445"/>
      <c r="BY131" s="445"/>
    </row>
    <row r="132" spans="1:77" ht="15">
      <c r="A132" s="370" t="s">
        <v>1269</v>
      </c>
      <c r="B132" s="415" t="s">
        <v>85</v>
      </c>
      <c r="C132" s="416" t="s">
        <v>1682</v>
      </c>
      <c r="D132" s="444">
        <v>0</v>
      </c>
      <c r="E132" s="415" t="s">
        <v>1718</v>
      </c>
      <c r="F132" s="444">
        <v>3</v>
      </c>
      <c r="G132" s="415" t="s">
        <v>1661</v>
      </c>
      <c r="H132" s="444">
        <v>98</v>
      </c>
      <c r="I132" s="417" t="s">
        <v>1688</v>
      </c>
      <c r="J132" s="444">
        <v>9.1999999999999993</v>
      </c>
      <c r="K132" s="444">
        <v>1931</v>
      </c>
      <c r="L132" s="444">
        <v>0</v>
      </c>
      <c r="M132" s="444">
        <v>55</v>
      </c>
      <c r="N132" s="444">
        <v>0</v>
      </c>
      <c r="O132" s="444">
        <v>0</v>
      </c>
      <c r="P132" s="444">
        <v>0</v>
      </c>
      <c r="Q132" s="444">
        <v>0</v>
      </c>
      <c r="R132" s="444">
        <v>0</v>
      </c>
      <c r="S132" s="444">
        <v>409</v>
      </c>
      <c r="T132" s="444">
        <v>0</v>
      </c>
      <c r="U132" s="444">
        <v>0</v>
      </c>
      <c r="V132" s="444">
        <v>200</v>
      </c>
      <c r="W132" s="444">
        <v>0</v>
      </c>
      <c r="X132" s="418"/>
      <c r="Y132" s="445">
        <v>664</v>
      </c>
      <c r="Z132" s="420"/>
      <c r="AA132" s="421">
        <v>77.137</v>
      </c>
      <c r="AB132" s="421">
        <v>29.978000000000002</v>
      </c>
      <c r="AC132" s="454">
        <v>94</v>
      </c>
      <c r="AE132" s="419" t="s">
        <v>2006</v>
      </c>
      <c r="AF132" s="454">
        <v>1</v>
      </c>
      <c r="AG132" s="429">
        <v>43101</v>
      </c>
      <c r="AJ132" s="430">
        <v>43151</v>
      </c>
      <c r="AL132" s="424" t="s">
        <v>910</v>
      </c>
      <c r="AO132" s="445"/>
      <c r="AP132" s="454">
        <v>556652</v>
      </c>
      <c r="AQ132" s="431">
        <v>43151</v>
      </c>
      <c r="AT132" s="426"/>
      <c r="AU132" s="426"/>
      <c r="AV132" s="426"/>
      <c r="AY132" s="427" t="s">
        <v>1717</v>
      </c>
      <c r="AZ132" s="373"/>
      <c r="BB132" s="374" t="s">
        <v>1727</v>
      </c>
      <c r="BC132" s="445"/>
      <c r="BE132" s="448">
        <v>0</v>
      </c>
      <c r="BF132" s="449">
        <v>0</v>
      </c>
      <c r="BG132" s="428" t="s">
        <v>1764</v>
      </c>
      <c r="BH132" s="445"/>
      <c r="BI132" s="491"/>
      <c r="BJ132" s="491">
        <v>3</v>
      </c>
      <c r="BK132" s="445" t="s">
        <v>2776</v>
      </c>
      <c r="BL132" s="419" t="s">
        <v>2777</v>
      </c>
      <c r="BM132" s="445"/>
      <c r="BN132" s="419" t="s">
        <v>1765</v>
      </c>
      <c r="BO132" s="419" t="s">
        <v>1765</v>
      </c>
      <c r="BP132" s="419" t="s">
        <v>1765</v>
      </c>
      <c r="BQ132" s="419" t="s">
        <v>1269</v>
      </c>
      <c r="BR132" s="419"/>
      <c r="BS132" s="419"/>
      <c r="BT132" s="445"/>
      <c r="BU132" s="445"/>
      <c r="BV132" s="445"/>
      <c r="BW132" s="445" t="s">
        <v>1977</v>
      </c>
      <c r="BX132" s="445"/>
      <c r="BY132" s="445"/>
    </row>
    <row r="133" spans="1:77" ht="15">
      <c r="A133" s="370" t="s">
        <v>1269</v>
      </c>
      <c r="B133" s="415" t="s">
        <v>85</v>
      </c>
      <c r="C133" s="416" t="s">
        <v>1682</v>
      </c>
      <c r="D133" s="444">
        <v>0</v>
      </c>
      <c r="E133" s="415" t="s">
        <v>1718</v>
      </c>
      <c r="F133" s="444">
        <v>3</v>
      </c>
      <c r="G133" s="415" t="s">
        <v>1661</v>
      </c>
      <c r="H133" s="444">
        <v>106</v>
      </c>
      <c r="I133" s="417" t="s">
        <v>2007</v>
      </c>
      <c r="J133" s="444">
        <v>3.9</v>
      </c>
      <c r="K133" s="444">
        <v>540</v>
      </c>
      <c r="L133" s="444">
        <v>0</v>
      </c>
      <c r="M133" s="444">
        <v>79</v>
      </c>
      <c r="N133" s="444">
        <v>0</v>
      </c>
      <c r="O133" s="444">
        <v>0</v>
      </c>
      <c r="P133" s="444">
        <v>0</v>
      </c>
      <c r="Q133" s="444">
        <v>0</v>
      </c>
      <c r="R133" s="444">
        <v>0</v>
      </c>
      <c r="S133" s="444">
        <v>62</v>
      </c>
      <c r="T133" s="444">
        <v>0</v>
      </c>
      <c r="U133" s="444">
        <v>0</v>
      </c>
      <c r="V133" s="444">
        <v>61</v>
      </c>
      <c r="W133" s="444">
        <v>0</v>
      </c>
      <c r="X133" s="418"/>
      <c r="Y133" s="445">
        <v>202</v>
      </c>
      <c r="Z133" s="420"/>
      <c r="AA133" s="421">
        <v>61.58</v>
      </c>
      <c r="AB133" s="421">
        <v>29.978000000000002</v>
      </c>
      <c r="AC133" s="454">
        <v>29</v>
      </c>
      <c r="AE133" s="419" t="s">
        <v>2008</v>
      </c>
      <c r="AF133" s="454">
        <v>1</v>
      </c>
      <c r="AG133" s="429">
        <v>43101</v>
      </c>
      <c r="AJ133" s="430">
        <v>43151</v>
      </c>
      <c r="AL133" s="424" t="s">
        <v>910</v>
      </c>
      <c r="AO133" s="445"/>
      <c r="AP133" s="454">
        <v>556652</v>
      </c>
      <c r="AQ133" s="431">
        <v>43151</v>
      </c>
      <c r="AT133" s="426"/>
      <c r="AU133" s="426"/>
      <c r="AV133" s="426"/>
      <c r="AY133" s="427" t="s">
        <v>1717</v>
      </c>
      <c r="AZ133" s="373"/>
      <c r="BB133" s="374" t="s">
        <v>1727</v>
      </c>
      <c r="BC133" s="445"/>
      <c r="BE133" s="448">
        <v>0</v>
      </c>
      <c r="BF133" s="449">
        <v>0</v>
      </c>
      <c r="BG133" s="428" t="s">
        <v>1764</v>
      </c>
      <c r="BH133" s="445"/>
      <c r="BI133" s="491"/>
      <c r="BJ133" s="491">
        <v>4</v>
      </c>
      <c r="BK133" s="445" t="s">
        <v>2778</v>
      </c>
      <c r="BL133" s="419" t="s">
        <v>2779</v>
      </c>
      <c r="BM133" s="445"/>
      <c r="BN133" s="419" t="s">
        <v>1765</v>
      </c>
      <c r="BO133" s="419" t="s">
        <v>1765</v>
      </c>
      <c r="BP133" s="419" t="s">
        <v>1765</v>
      </c>
      <c r="BQ133" s="419" t="s">
        <v>1269</v>
      </c>
      <c r="BR133" s="419"/>
      <c r="BS133" s="419"/>
      <c r="BT133" s="445"/>
      <c r="BU133" s="445"/>
      <c r="BV133" s="445"/>
      <c r="BW133" s="445" t="s">
        <v>1977</v>
      </c>
      <c r="BX133" s="445"/>
      <c r="BY133" s="445"/>
    </row>
    <row r="134" spans="1:77" ht="15">
      <c r="A134" s="370" t="s">
        <v>1269</v>
      </c>
      <c r="B134" s="415" t="s">
        <v>85</v>
      </c>
      <c r="C134" s="416" t="s">
        <v>1784</v>
      </c>
      <c r="D134" s="444">
        <v>0</v>
      </c>
      <c r="E134" s="415" t="s">
        <v>1749</v>
      </c>
      <c r="F134" s="444">
        <v>3</v>
      </c>
      <c r="G134" s="415" t="s">
        <v>1750</v>
      </c>
      <c r="H134" s="444">
        <v>67</v>
      </c>
      <c r="I134" s="417" t="s">
        <v>1664</v>
      </c>
      <c r="J134" s="444">
        <v>1.4</v>
      </c>
      <c r="K134" s="444">
        <v>0</v>
      </c>
      <c r="L134" s="444"/>
      <c r="M134" s="444">
        <v>0</v>
      </c>
      <c r="N134" s="444">
        <v>190</v>
      </c>
      <c r="O134" s="444"/>
      <c r="P134" s="444"/>
      <c r="Q134" s="444">
        <v>0</v>
      </c>
      <c r="R134" s="444"/>
      <c r="S134" s="444">
        <v>0</v>
      </c>
      <c r="T134" s="444">
        <v>0</v>
      </c>
      <c r="U134" s="444"/>
      <c r="V134" s="444">
        <v>0</v>
      </c>
      <c r="W134" s="444">
        <v>0</v>
      </c>
      <c r="X134" s="418"/>
      <c r="Y134" s="445">
        <v>190</v>
      </c>
      <c r="Z134" s="420"/>
      <c r="AA134" s="421">
        <v>185.62</v>
      </c>
      <c r="AB134" s="421"/>
      <c r="AC134" s="454">
        <v>23</v>
      </c>
      <c r="AE134" s="419" t="s">
        <v>2009</v>
      </c>
      <c r="AF134" s="454">
        <v>1</v>
      </c>
      <c r="AG134" s="429">
        <v>43101</v>
      </c>
      <c r="AJ134" s="430">
        <v>43132</v>
      </c>
      <c r="AL134" s="424" t="s">
        <v>1009</v>
      </c>
      <c r="AO134" s="445"/>
      <c r="AP134" s="454">
        <v>556630</v>
      </c>
      <c r="AQ134" s="431">
        <v>43102</v>
      </c>
      <c r="AR134" s="370">
        <v>0.3</v>
      </c>
      <c r="AT134" s="426"/>
      <c r="AU134" s="426"/>
      <c r="AV134" s="426"/>
      <c r="AY134" s="427" t="s">
        <v>1717</v>
      </c>
      <c r="AZ134" s="373"/>
      <c r="BB134" s="374" t="s">
        <v>1727</v>
      </c>
      <c r="BC134" s="445"/>
      <c r="BE134" s="448"/>
      <c r="BF134" s="449"/>
      <c r="BG134" s="428"/>
      <c r="BH134" s="445"/>
      <c r="BI134" s="491"/>
      <c r="BJ134" s="491">
        <v>6</v>
      </c>
      <c r="BK134" s="445" t="s">
        <v>2780</v>
      </c>
      <c r="BL134" s="419" t="s">
        <v>2781</v>
      </c>
      <c r="BM134" s="445"/>
      <c r="BN134" s="419"/>
      <c r="BO134" s="419"/>
      <c r="BP134" s="419"/>
      <c r="BQ134" s="419" t="s">
        <v>1269</v>
      </c>
      <c r="BR134" s="419">
        <v>2</v>
      </c>
      <c r="BS134" s="419"/>
      <c r="BT134" s="445"/>
      <c r="BU134" s="445"/>
      <c r="BV134" s="445"/>
      <c r="BW134" s="445" t="s">
        <v>1977</v>
      </c>
      <c r="BX134" s="445"/>
      <c r="BY134" s="445"/>
    </row>
    <row r="135" spans="1:77" ht="15">
      <c r="A135" s="370" t="s">
        <v>1269</v>
      </c>
      <c r="B135" s="415" t="s">
        <v>177</v>
      </c>
      <c r="C135" s="416" t="s">
        <v>1784</v>
      </c>
      <c r="D135" s="444">
        <v>0</v>
      </c>
      <c r="E135" s="415" t="s">
        <v>1749</v>
      </c>
      <c r="F135" s="444">
        <v>3</v>
      </c>
      <c r="G135" s="415" t="s">
        <v>1750</v>
      </c>
      <c r="H135" s="444">
        <v>59</v>
      </c>
      <c r="I135" s="417" t="s">
        <v>1632</v>
      </c>
      <c r="J135" s="444">
        <v>1.4</v>
      </c>
      <c r="K135" s="444">
        <v>0</v>
      </c>
      <c r="L135" s="444"/>
      <c r="M135" s="444">
        <v>0</v>
      </c>
      <c r="N135" s="444">
        <v>200</v>
      </c>
      <c r="O135" s="444"/>
      <c r="P135" s="444"/>
      <c r="Q135" s="444">
        <v>0</v>
      </c>
      <c r="R135" s="444"/>
      <c r="S135" s="444">
        <v>0</v>
      </c>
      <c r="T135" s="444">
        <v>0</v>
      </c>
      <c r="U135" s="444"/>
      <c r="V135" s="444">
        <v>0</v>
      </c>
      <c r="W135" s="444">
        <v>0</v>
      </c>
      <c r="X135" s="418"/>
      <c r="Y135" s="445">
        <v>200</v>
      </c>
      <c r="Z135" s="420"/>
      <c r="AA135" s="421">
        <v>185.62</v>
      </c>
      <c r="AB135" s="421"/>
      <c r="AC135" s="454">
        <v>23</v>
      </c>
      <c r="AE135" s="419" t="s">
        <v>2010</v>
      </c>
      <c r="AF135" s="454">
        <v>1</v>
      </c>
      <c r="AG135" s="429">
        <v>43101</v>
      </c>
      <c r="AJ135" s="430">
        <v>43132</v>
      </c>
      <c r="AL135" s="424" t="s">
        <v>1015</v>
      </c>
      <c r="AO135" s="445"/>
      <c r="AP135" s="454">
        <v>556636</v>
      </c>
      <c r="AQ135" s="431">
        <v>43102</v>
      </c>
      <c r="AR135" s="370">
        <v>0.3</v>
      </c>
      <c r="AT135" s="426"/>
      <c r="AU135" s="426"/>
      <c r="AV135" s="426"/>
      <c r="AY135" s="427" t="s">
        <v>1717</v>
      </c>
      <c r="AZ135" s="373"/>
      <c r="BB135" s="374" t="s">
        <v>1727</v>
      </c>
      <c r="BC135" s="445"/>
      <c r="BE135" s="448"/>
      <c r="BF135" s="449"/>
      <c r="BG135" s="428"/>
      <c r="BH135" s="445"/>
      <c r="BI135" s="491"/>
      <c r="BJ135" s="491">
        <v>6</v>
      </c>
      <c r="BK135" s="445" t="s">
        <v>2782</v>
      </c>
      <c r="BL135" s="419" t="s">
        <v>2783</v>
      </c>
      <c r="BM135" s="445"/>
      <c r="BN135" s="419"/>
      <c r="BO135" s="419"/>
      <c r="BP135" s="419"/>
      <c r="BQ135" s="419" t="s">
        <v>1269</v>
      </c>
      <c r="BR135" s="419">
        <v>2</v>
      </c>
      <c r="BS135" s="419"/>
      <c r="BT135" s="445"/>
      <c r="BU135" s="445"/>
      <c r="BV135" s="445"/>
      <c r="BW135" s="445" t="s">
        <v>1977</v>
      </c>
      <c r="BX135" s="445"/>
      <c r="BY135" s="445"/>
    </row>
    <row r="136" spans="1:77" ht="15">
      <c r="A136" s="370" t="s">
        <v>1269</v>
      </c>
      <c r="B136" s="415" t="s">
        <v>177</v>
      </c>
      <c r="C136" s="416" t="s">
        <v>1784</v>
      </c>
      <c r="D136" s="444">
        <v>0</v>
      </c>
      <c r="E136" s="415" t="s">
        <v>1749</v>
      </c>
      <c r="F136" s="444">
        <v>3</v>
      </c>
      <c r="G136" s="415" t="s">
        <v>1750</v>
      </c>
      <c r="H136" s="444">
        <v>68</v>
      </c>
      <c r="I136" s="417" t="s">
        <v>1687</v>
      </c>
      <c r="J136" s="444">
        <v>1.8</v>
      </c>
      <c r="K136" s="444">
        <v>0</v>
      </c>
      <c r="L136" s="444"/>
      <c r="M136" s="444">
        <v>0</v>
      </c>
      <c r="N136" s="444">
        <v>0</v>
      </c>
      <c r="O136" s="444"/>
      <c r="P136" s="444"/>
      <c r="Q136" s="444">
        <v>300</v>
      </c>
      <c r="R136" s="444"/>
      <c r="S136" s="444">
        <v>0</v>
      </c>
      <c r="T136" s="444">
        <v>0</v>
      </c>
      <c r="U136" s="444"/>
      <c r="V136" s="444">
        <v>0</v>
      </c>
      <c r="W136" s="444">
        <v>0</v>
      </c>
      <c r="X136" s="418"/>
      <c r="Y136" s="445">
        <v>300</v>
      </c>
      <c r="Z136" s="420"/>
      <c r="AA136" s="421">
        <v>171.75</v>
      </c>
      <c r="AB136" s="421"/>
      <c r="AC136" s="454">
        <v>23</v>
      </c>
      <c r="AE136" s="419" t="s">
        <v>2011</v>
      </c>
      <c r="AF136" s="454">
        <v>1</v>
      </c>
      <c r="AG136" s="429">
        <v>43101</v>
      </c>
      <c r="AJ136" s="430">
        <v>43132</v>
      </c>
      <c r="AL136" s="424" t="s">
        <v>1015</v>
      </c>
      <c r="AO136" s="445"/>
      <c r="AP136" s="454">
        <v>556636</v>
      </c>
      <c r="AQ136" s="431">
        <v>43102</v>
      </c>
      <c r="AR136" s="370">
        <v>0.5</v>
      </c>
      <c r="AT136" s="426"/>
      <c r="AU136" s="426"/>
      <c r="AV136" s="426"/>
      <c r="AY136" s="427" t="s">
        <v>1717</v>
      </c>
      <c r="AZ136" s="373"/>
      <c r="BB136" s="374" t="s">
        <v>1727</v>
      </c>
      <c r="BC136" s="445"/>
      <c r="BE136" s="448"/>
      <c r="BF136" s="449"/>
      <c r="BG136" s="428"/>
      <c r="BH136" s="445"/>
      <c r="BI136" s="491"/>
      <c r="BJ136" s="491">
        <v>7</v>
      </c>
      <c r="BK136" s="445" t="s">
        <v>264</v>
      </c>
      <c r="BL136" s="419" t="s">
        <v>2784</v>
      </c>
      <c r="BM136" s="445"/>
      <c r="BN136" s="419"/>
      <c r="BO136" s="419"/>
      <c r="BP136" s="419"/>
      <c r="BQ136" s="419" t="s">
        <v>1269</v>
      </c>
      <c r="BR136" s="419">
        <v>5</v>
      </c>
      <c r="BS136" s="419"/>
      <c r="BT136" s="445"/>
      <c r="BU136" s="445"/>
      <c r="BV136" s="445"/>
      <c r="BW136" s="445" t="s">
        <v>1977</v>
      </c>
      <c r="BX136" s="445"/>
      <c r="BY136" s="445"/>
    </row>
    <row r="137" spans="1:77" ht="15">
      <c r="A137" s="370" t="s">
        <v>1783</v>
      </c>
      <c r="B137" s="415" t="s">
        <v>177</v>
      </c>
      <c r="C137" s="416" t="s">
        <v>1693</v>
      </c>
      <c r="D137" s="444">
        <v>0</v>
      </c>
      <c r="E137" s="415" t="s">
        <v>1749</v>
      </c>
      <c r="F137" s="444">
        <v>3</v>
      </c>
      <c r="G137" s="415" t="s">
        <v>1750</v>
      </c>
      <c r="H137" s="444">
        <v>61</v>
      </c>
      <c r="I137" s="417" t="s">
        <v>1688</v>
      </c>
      <c r="J137" s="444">
        <v>3.5</v>
      </c>
      <c r="K137" s="444">
        <v>0</v>
      </c>
      <c r="L137" s="444"/>
      <c r="M137" s="444">
        <v>0</v>
      </c>
      <c r="N137" s="444">
        <v>170</v>
      </c>
      <c r="O137" s="444"/>
      <c r="P137" s="444"/>
      <c r="Q137" s="444">
        <v>441.67</v>
      </c>
      <c r="R137" s="444"/>
      <c r="S137" s="444">
        <v>0</v>
      </c>
      <c r="T137" s="444">
        <v>0</v>
      </c>
      <c r="U137" s="444"/>
      <c r="V137" s="444">
        <v>0</v>
      </c>
      <c r="W137" s="444">
        <v>0</v>
      </c>
      <c r="X137" s="418"/>
      <c r="Y137" s="445">
        <v>611.67000000000007</v>
      </c>
      <c r="Z137" s="420"/>
      <c r="AA137" s="421">
        <v>141.25</v>
      </c>
      <c r="AB137" s="421"/>
      <c r="AC137" s="454">
        <v>23</v>
      </c>
      <c r="AE137" s="419" t="s">
        <v>2012</v>
      </c>
      <c r="AF137" s="454">
        <v>1</v>
      </c>
      <c r="AG137" s="429">
        <v>43101</v>
      </c>
      <c r="AJ137" s="430">
        <v>43132</v>
      </c>
      <c r="AL137" s="424" t="s">
        <v>1681</v>
      </c>
      <c r="AO137" s="445"/>
      <c r="AP137" s="454">
        <v>556637</v>
      </c>
      <c r="AQ137" s="431">
        <v>43102</v>
      </c>
      <c r="AR137" s="370">
        <v>0.3</v>
      </c>
      <c r="AT137" s="426"/>
      <c r="AU137" s="426"/>
      <c r="AV137" s="426"/>
      <c r="AY137" s="427" t="s">
        <v>1717</v>
      </c>
      <c r="AZ137" s="373"/>
      <c r="BB137" s="374" t="s">
        <v>1727</v>
      </c>
      <c r="BC137" s="445"/>
      <c r="BE137" s="448"/>
      <c r="BF137" s="449"/>
      <c r="BG137" s="428"/>
      <c r="BH137" s="445"/>
      <c r="BI137" s="491"/>
      <c r="BJ137" s="491">
        <v>8</v>
      </c>
      <c r="BK137" s="445" t="s">
        <v>2785</v>
      </c>
      <c r="BL137" s="419" t="s">
        <v>2786</v>
      </c>
      <c r="BM137" s="445"/>
      <c r="BN137" s="419"/>
      <c r="BO137" s="419"/>
      <c r="BP137" s="419"/>
      <c r="BQ137" s="419" t="s">
        <v>1783</v>
      </c>
      <c r="BR137" s="419">
        <v>5</v>
      </c>
      <c r="BS137" s="419"/>
      <c r="BT137" s="445"/>
      <c r="BU137" s="445"/>
      <c r="BV137" s="445"/>
      <c r="BW137" s="445" t="s">
        <v>1977</v>
      </c>
      <c r="BX137" s="445"/>
      <c r="BY137" s="445"/>
    </row>
    <row r="138" spans="1:77" ht="15">
      <c r="A138" s="370" t="s">
        <v>1269</v>
      </c>
      <c r="B138" s="415" t="s">
        <v>177</v>
      </c>
      <c r="C138" s="416" t="s">
        <v>1784</v>
      </c>
      <c r="D138" s="444">
        <v>0</v>
      </c>
      <c r="E138" s="415" t="s">
        <v>1718</v>
      </c>
      <c r="F138" s="444">
        <v>3</v>
      </c>
      <c r="G138" s="415" t="s">
        <v>1661</v>
      </c>
      <c r="H138" s="444">
        <v>59</v>
      </c>
      <c r="I138" s="417" t="s">
        <v>1632</v>
      </c>
      <c r="J138" s="444">
        <v>1.4</v>
      </c>
      <c r="K138" s="444">
        <v>52</v>
      </c>
      <c r="L138" s="444">
        <v>0</v>
      </c>
      <c r="M138" s="444">
        <v>0</v>
      </c>
      <c r="N138" s="444">
        <v>0</v>
      </c>
      <c r="O138" s="444">
        <v>0</v>
      </c>
      <c r="P138" s="444">
        <v>0</v>
      </c>
      <c r="Q138" s="444">
        <v>0</v>
      </c>
      <c r="R138" s="444">
        <v>0</v>
      </c>
      <c r="S138" s="444">
        <v>0</v>
      </c>
      <c r="T138" s="444">
        <v>0</v>
      </c>
      <c r="U138" s="444">
        <v>0</v>
      </c>
      <c r="V138" s="444">
        <v>0</v>
      </c>
      <c r="W138" s="444">
        <v>3</v>
      </c>
      <c r="X138" s="418"/>
      <c r="Y138" s="445">
        <v>3</v>
      </c>
      <c r="Z138" s="420"/>
      <c r="AA138" s="421">
        <v>221.84299999999999</v>
      </c>
      <c r="AB138" s="421">
        <v>29.978000000000002</v>
      </c>
      <c r="AC138" s="454">
        <v>26</v>
      </c>
      <c r="AE138" s="419" t="s">
        <v>2013</v>
      </c>
      <c r="AF138" s="454">
        <v>1</v>
      </c>
      <c r="AG138" s="429">
        <v>43101</v>
      </c>
      <c r="AJ138" s="430">
        <v>43132</v>
      </c>
      <c r="AL138" s="424" t="s">
        <v>1015</v>
      </c>
      <c r="AO138" s="445"/>
      <c r="AP138" s="454">
        <v>556636</v>
      </c>
      <c r="AQ138" s="431">
        <v>43102</v>
      </c>
      <c r="AT138" s="426"/>
      <c r="AU138" s="426"/>
      <c r="AV138" s="426"/>
      <c r="AY138" s="427" t="s">
        <v>1717</v>
      </c>
      <c r="AZ138" s="373"/>
      <c r="BB138" s="374" t="s">
        <v>1727</v>
      </c>
      <c r="BC138" s="445"/>
      <c r="BE138" s="448">
        <v>0</v>
      </c>
      <c r="BF138" s="449">
        <v>0</v>
      </c>
      <c r="BG138" s="428" t="s">
        <v>1764</v>
      </c>
      <c r="BH138" s="445"/>
      <c r="BI138" s="491"/>
      <c r="BJ138" s="491">
        <v>9</v>
      </c>
      <c r="BK138" s="445" t="s">
        <v>2782</v>
      </c>
      <c r="BL138" s="419" t="s">
        <v>2783</v>
      </c>
      <c r="BM138" s="445"/>
      <c r="BN138" s="419" t="s">
        <v>1765</v>
      </c>
      <c r="BO138" s="419" t="s">
        <v>1765</v>
      </c>
      <c r="BP138" s="419" t="s">
        <v>1765</v>
      </c>
      <c r="BQ138" s="419" t="s">
        <v>1269</v>
      </c>
      <c r="BR138" s="419"/>
      <c r="BS138" s="419"/>
      <c r="BT138" s="445"/>
      <c r="BU138" s="445"/>
      <c r="BV138" s="445"/>
      <c r="BW138" s="445" t="s">
        <v>1977</v>
      </c>
      <c r="BX138" s="445"/>
      <c r="BY138" s="445"/>
    </row>
    <row r="139" spans="1:77" ht="15">
      <c r="A139" s="370" t="s">
        <v>1269</v>
      </c>
      <c r="B139" s="415" t="s">
        <v>177</v>
      </c>
      <c r="C139" s="416" t="s">
        <v>1784</v>
      </c>
      <c r="D139" s="444">
        <v>0</v>
      </c>
      <c r="E139" s="415" t="s">
        <v>1718</v>
      </c>
      <c r="F139" s="444">
        <v>3</v>
      </c>
      <c r="G139" s="415" t="s">
        <v>1661</v>
      </c>
      <c r="H139" s="444">
        <v>59</v>
      </c>
      <c r="I139" s="417" t="s">
        <v>1632</v>
      </c>
      <c r="J139" s="444">
        <v>1.4</v>
      </c>
      <c r="K139" s="444">
        <v>52</v>
      </c>
      <c r="L139" s="444">
        <v>0</v>
      </c>
      <c r="M139" s="444">
        <v>0</v>
      </c>
      <c r="N139" s="444">
        <v>0</v>
      </c>
      <c r="O139" s="444">
        <v>0</v>
      </c>
      <c r="P139" s="444">
        <v>0</v>
      </c>
      <c r="Q139" s="444">
        <v>0</v>
      </c>
      <c r="R139" s="444">
        <v>0</v>
      </c>
      <c r="S139" s="444">
        <v>0</v>
      </c>
      <c r="T139" s="444">
        <v>0</v>
      </c>
      <c r="U139" s="444">
        <v>0</v>
      </c>
      <c r="V139" s="444">
        <v>0</v>
      </c>
      <c r="W139" s="444">
        <v>3</v>
      </c>
      <c r="X139" s="418"/>
      <c r="Y139" s="445">
        <v>3</v>
      </c>
      <c r="Z139" s="420"/>
      <c r="AA139" s="421">
        <v>221.84299999999999</v>
      </c>
      <c r="AB139" s="421">
        <v>29.978000000000002</v>
      </c>
      <c r="AC139" s="454">
        <v>26</v>
      </c>
      <c r="AE139" s="419" t="s">
        <v>2013</v>
      </c>
      <c r="AF139" s="454">
        <v>1</v>
      </c>
      <c r="AG139" s="429">
        <v>43101</v>
      </c>
      <c r="AJ139" s="430">
        <v>43132</v>
      </c>
      <c r="AL139" s="424" t="s">
        <v>1015</v>
      </c>
      <c r="AO139" s="445"/>
      <c r="AP139" s="454">
        <v>556636</v>
      </c>
      <c r="AQ139" s="431">
        <v>43102</v>
      </c>
      <c r="AT139" s="426"/>
      <c r="AU139" s="426"/>
      <c r="AV139" s="426"/>
      <c r="AY139" s="427" t="s">
        <v>1717</v>
      </c>
      <c r="AZ139" s="373"/>
      <c r="BB139" s="374" t="s">
        <v>1727</v>
      </c>
      <c r="BC139" s="445"/>
      <c r="BE139" s="448">
        <v>0</v>
      </c>
      <c r="BF139" s="449">
        <v>0</v>
      </c>
      <c r="BG139" s="428" t="s">
        <v>1764</v>
      </c>
      <c r="BH139" s="445"/>
      <c r="BI139" s="491"/>
      <c r="BJ139" s="491">
        <v>9</v>
      </c>
      <c r="BK139" s="445" t="s">
        <v>2782</v>
      </c>
      <c r="BL139" s="419" t="s">
        <v>2783</v>
      </c>
      <c r="BM139" s="445"/>
      <c r="BN139" s="419" t="s">
        <v>1765</v>
      </c>
      <c r="BO139" s="419" t="s">
        <v>1765</v>
      </c>
      <c r="BP139" s="419" t="s">
        <v>1765</v>
      </c>
      <c r="BQ139" s="419" t="s">
        <v>1269</v>
      </c>
      <c r="BR139" s="419"/>
      <c r="BS139" s="419"/>
      <c r="BT139" s="445"/>
      <c r="BU139" s="445"/>
      <c r="BV139" s="445"/>
      <c r="BW139" s="445" t="s">
        <v>2014</v>
      </c>
      <c r="BX139" s="445"/>
      <c r="BY139" s="445"/>
    </row>
    <row r="140" spans="1:77" ht="15">
      <c r="A140" s="370" t="s">
        <v>31</v>
      </c>
      <c r="B140" s="415" t="s">
        <v>296</v>
      </c>
      <c r="C140" s="416" t="s">
        <v>31</v>
      </c>
      <c r="D140" s="444">
        <v>0</v>
      </c>
      <c r="E140" s="415" t="s">
        <v>1716</v>
      </c>
      <c r="F140" s="444">
        <v>2</v>
      </c>
      <c r="G140" s="415" t="s">
        <v>1661</v>
      </c>
      <c r="H140" s="444">
        <v>34</v>
      </c>
      <c r="I140" s="417" t="s">
        <v>1436</v>
      </c>
      <c r="J140" s="444">
        <v>4</v>
      </c>
      <c r="K140" s="444">
        <v>1221</v>
      </c>
      <c r="L140" s="444">
        <v>3</v>
      </c>
      <c r="M140" s="444">
        <v>31</v>
      </c>
      <c r="N140" s="444">
        <v>417</v>
      </c>
      <c r="O140" s="444">
        <v>0</v>
      </c>
      <c r="P140" s="444">
        <v>0</v>
      </c>
      <c r="Q140" s="444">
        <v>44</v>
      </c>
      <c r="R140" s="444">
        <v>164</v>
      </c>
      <c r="S140" s="444">
        <v>111</v>
      </c>
      <c r="T140" s="444">
        <v>224</v>
      </c>
      <c r="U140" s="444">
        <v>54</v>
      </c>
      <c r="V140" s="444">
        <v>91</v>
      </c>
      <c r="W140" s="444">
        <v>168</v>
      </c>
      <c r="X140" s="418"/>
      <c r="Y140" s="445">
        <v>1307</v>
      </c>
      <c r="Z140" s="420"/>
      <c r="AA140" s="421">
        <v>71.311000000000007</v>
      </c>
      <c r="AB140" s="421">
        <v>27.3</v>
      </c>
      <c r="AC140" s="454">
        <v>97</v>
      </c>
      <c r="AE140" s="419" t="s">
        <v>2015</v>
      </c>
      <c r="AF140" s="454">
        <v>1</v>
      </c>
      <c r="AG140" s="429">
        <v>43101</v>
      </c>
      <c r="AJ140" s="430">
        <v>43151</v>
      </c>
      <c r="AL140" s="424" t="s">
        <v>1035</v>
      </c>
      <c r="AO140" s="445"/>
      <c r="AP140" s="454">
        <v>556622</v>
      </c>
      <c r="AQ140" s="431">
        <v>43077</v>
      </c>
      <c r="AT140" s="426"/>
      <c r="AU140" s="426"/>
      <c r="AV140" s="426"/>
      <c r="AY140" s="427" t="s">
        <v>1722</v>
      </c>
      <c r="AZ140" s="373"/>
      <c r="BB140" s="374" t="s">
        <v>1728</v>
      </c>
      <c r="BC140" s="445"/>
      <c r="BE140" s="448">
        <v>12</v>
      </c>
      <c r="BF140" s="449">
        <v>40</v>
      </c>
      <c r="BG140" s="428" t="s">
        <v>1764</v>
      </c>
      <c r="BH140" s="445"/>
      <c r="BI140" s="491"/>
      <c r="BJ140" s="491">
        <v>10</v>
      </c>
      <c r="BK140" s="445" t="s">
        <v>2787</v>
      </c>
      <c r="BL140" s="419" t="s">
        <v>2788</v>
      </c>
      <c r="BM140" s="445"/>
      <c r="BN140" s="419" t="s">
        <v>1765</v>
      </c>
      <c r="BO140" s="419" t="s">
        <v>1765</v>
      </c>
      <c r="BP140" s="419" t="s">
        <v>1765</v>
      </c>
      <c r="BQ140" s="419" t="s">
        <v>31</v>
      </c>
      <c r="BR140" s="419"/>
      <c r="BS140" s="419"/>
      <c r="BT140" s="445"/>
      <c r="BU140" s="445"/>
      <c r="BV140" s="445"/>
      <c r="BW140" s="445" t="s">
        <v>2014</v>
      </c>
      <c r="BX140" s="445"/>
      <c r="BY140" s="445"/>
    </row>
    <row r="141" spans="1:77" ht="15">
      <c r="A141" s="370" t="s">
        <v>31</v>
      </c>
      <c r="B141" s="415" t="s">
        <v>296</v>
      </c>
      <c r="C141" s="416" t="s">
        <v>31</v>
      </c>
      <c r="D141" s="444">
        <v>0</v>
      </c>
      <c r="E141" s="415" t="s">
        <v>1716</v>
      </c>
      <c r="F141" s="444">
        <v>3</v>
      </c>
      <c r="G141" s="415" t="s">
        <v>1661</v>
      </c>
      <c r="H141" s="444">
        <v>50</v>
      </c>
      <c r="I141" s="417" t="s">
        <v>1663</v>
      </c>
      <c r="J141" s="444">
        <v>5</v>
      </c>
      <c r="K141" s="444">
        <v>1299</v>
      </c>
      <c r="L141" s="444">
        <v>1</v>
      </c>
      <c r="M141" s="444">
        <v>47</v>
      </c>
      <c r="N141" s="444">
        <v>458</v>
      </c>
      <c r="O141" s="444">
        <v>0</v>
      </c>
      <c r="P141" s="444">
        <v>0</v>
      </c>
      <c r="Q141" s="444">
        <v>20</v>
      </c>
      <c r="R141" s="444">
        <v>55</v>
      </c>
      <c r="S141" s="444">
        <v>194</v>
      </c>
      <c r="T141" s="444">
        <v>413</v>
      </c>
      <c r="U141" s="444">
        <v>18</v>
      </c>
      <c r="V141" s="444">
        <v>158</v>
      </c>
      <c r="W141" s="444">
        <v>321</v>
      </c>
      <c r="X141" s="418"/>
      <c r="Y141" s="445">
        <v>1685</v>
      </c>
      <c r="Z141" s="420"/>
      <c r="AA141" s="421">
        <v>76.989000000000004</v>
      </c>
      <c r="AB141" s="421">
        <v>27.414000000000001</v>
      </c>
      <c r="AC141" s="454">
        <v>0</v>
      </c>
      <c r="AE141" s="419" t="s">
        <v>2016</v>
      </c>
      <c r="AF141" s="454">
        <v>1</v>
      </c>
      <c r="AG141" s="429">
        <v>43101</v>
      </c>
      <c r="AJ141" s="430">
        <v>43151</v>
      </c>
      <c r="AL141" s="424" t="s">
        <v>1025</v>
      </c>
      <c r="AO141" s="445"/>
      <c r="AP141" s="454">
        <v>556622</v>
      </c>
      <c r="AQ141" s="431">
        <v>43077</v>
      </c>
      <c r="AT141" s="426"/>
      <c r="AU141" s="426"/>
      <c r="AV141" s="426"/>
      <c r="AY141" s="427" t="s">
        <v>1722</v>
      </c>
      <c r="AZ141" s="373"/>
      <c r="BB141" s="374" t="s">
        <v>1728</v>
      </c>
      <c r="BC141" s="445"/>
      <c r="BE141" s="448">
        <v>10</v>
      </c>
      <c r="BF141" s="449">
        <v>40</v>
      </c>
      <c r="BG141" s="428" t="s">
        <v>1764</v>
      </c>
      <c r="BH141" s="445"/>
      <c r="BI141" s="491"/>
      <c r="BJ141" s="491">
        <v>11</v>
      </c>
      <c r="BK141" s="445" t="s">
        <v>2789</v>
      </c>
      <c r="BL141" s="419" t="s">
        <v>2790</v>
      </c>
      <c r="BM141" s="445"/>
      <c r="BN141" s="419" t="s">
        <v>1765</v>
      </c>
      <c r="BO141" s="419" t="s">
        <v>1765</v>
      </c>
      <c r="BP141" s="419" t="s">
        <v>1765</v>
      </c>
      <c r="BQ141" s="419" t="s">
        <v>31</v>
      </c>
      <c r="BR141" s="419"/>
      <c r="BS141" s="419"/>
      <c r="BT141" s="445"/>
      <c r="BU141" s="445"/>
      <c r="BV141" s="445"/>
      <c r="BW141" s="445" t="s">
        <v>2017</v>
      </c>
      <c r="BX141" s="445"/>
      <c r="BY141" s="445"/>
    </row>
    <row r="142" spans="1:77" ht="15">
      <c r="A142" s="370" t="s">
        <v>31</v>
      </c>
      <c r="B142" s="415" t="s">
        <v>19</v>
      </c>
      <c r="C142" s="416" t="s">
        <v>31</v>
      </c>
      <c r="D142" s="444">
        <v>0</v>
      </c>
      <c r="E142" s="415" t="s">
        <v>1716</v>
      </c>
      <c r="F142" s="444">
        <v>2</v>
      </c>
      <c r="G142" s="415" t="s">
        <v>1661</v>
      </c>
      <c r="H142" s="444">
        <v>100</v>
      </c>
      <c r="I142" s="417" t="s">
        <v>1428</v>
      </c>
      <c r="J142" s="444">
        <v>3</v>
      </c>
      <c r="K142" s="444">
        <v>1397</v>
      </c>
      <c r="L142" s="444">
        <v>0</v>
      </c>
      <c r="M142" s="444">
        <v>7</v>
      </c>
      <c r="N142" s="444">
        <v>273</v>
      </c>
      <c r="O142" s="444">
        <v>0</v>
      </c>
      <c r="P142" s="444">
        <v>0</v>
      </c>
      <c r="Q142" s="444">
        <v>20</v>
      </c>
      <c r="R142" s="444">
        <v>70</v>
      </c>
      <c r="S142" s="444">
        <v>17</v>
      </c>
      <c r="T142" s="444">
        <v>213</v>
      </c>
      <c r="U142" s="444">
        <v>23</v>
      </c>
      <c r="V142" s="444">
        <v>13</v>
      </c>
      <c r="W142" s="444">
        <v>144</v>
      </c>
      <c r="X142" s="418"/>
      <c r="Y142" s="445">
        <v>780</v>
      </c>
      <c r="Z142" s="420"/>
      <c r="AA142" s="421">
        <v>83.397000000000006</v>
      </c>
      <c r="AB142" s="421">
        <v>40.396999999999998</v>
      </c>
      <c r="AC142" s="454">
        <v>56</v>
      </c>
      <c r="AE142" s="419" t="s">
        <v>2018</v>
      </c>
      <c r="AF142" s="454">
        <v>1</v>
      </c>
      <c r="AG142" s="429">
        <v>43101</v>
      </c>
      <c r="AJ142" s="430">
        <v>43154</v>
      </c>
      <c r="AL142" s="424" t="s">
        <v>927</v>
      </c>
      <c r="AO142" s="445"/>
      <c r="AP142" s="454">
        <v>556620</v>
      </c>
      <c r="AQ142" s="431">
        <v>43077</v>
      </c>
      <c r="AT142" s="426"/>
      <c r="AU142" s="426"/>
      <c r="AV142" s="426"/>
      <c r="AY142" s="427" t="s">
        <v>1720</v>
      </c>
      <c r="AZ142" s="373"/>
      <c r="BB142" s="374" t="s">
        <v>1726</v>
      </c>
      <c r="BC142" s="445"/>
      <c r="BE142" s="448">
        <v>5</v>
      </c>
      <c r="BF142" s="449">
        <v>40</v>
      </c>
      <c r="BG142" s="428" t="s">
        <v>1764</v>
      </c>
      <c r="BH142" s="445"/>
      <c r="BI142" s="491"/>
      <c r="BJ142" s="491">
        <v>1</v>
      </c>
      <c r="BK142" s="445" t="s">
        <v>2791</v>
      </c>
      <c r="BL142" s="419" t="s">
        <v>2792</v>
      </c>
      <c r="BM142" s="445"/>
      <c r="BN142" s="419" t="s">
        <v>1765</v>
      </c>
      <c r="BO142" s="419" t="s">
        <v>1765</v>
      </c>
      <c r="BP142" s="419" t="s">
        <v>1765</v>
      </c>
      <c r="BQ142" s="419" t="s">
        <v>31</v>
      </c>
      <c r="BR142" s="419"/>
      <c r="BS142" s="419"/>
      <c r="BT142" s="445"/>
      <c r="BU142" s="445"/>
      <c r="BV142" s="445"/>
      <c r="BW142" s="445" t="s">
        <v>2019</v>
      </c>
      <c r="BX142" s="445"/>
      <c r="BY142" s="445"/>
    </row>
    <row r="143" spans="1:77" ht="15">
      <c r="A143" s="370" t="s">
        <v>1269</v>
      </c>
      <c r="B143" s="415" t="s">
        <v>19</v>
      </c>
      <c r="C143" s="416" t="s">
        <v>1682</v>
      </c>
      <c r="D143" s="444">
        <v>0</v>
      </c>
      <c r="E143" s="415" t="s">
        <v>1718</v>
      </c>
      <c r="F143" s="444">
        <v>3</v>
      </c>
      <c r="G143" s="415" t="s">
        <v>1661</v>
      </c>
      <c r="H143" s="444">
        <v>14</v>
      </c>
      <c r="I143" s="417" t="s">
        <v>1632</v>
      </c>
      <c r="J143" s="444">
        <v>2.2000000000000002</v>
      </c>
      <c r="K143" s="444">
        <v>185</v>
      </c>
      <c r="L143" s="444">
        <v>0</v>
      </c>
      <c r="M143" s="444">
        <v>0</v>
      </c>
      <c r="N143" s="444">
        <v>11</v>
      </c>
      <c r="O143" s="444">
        <v>0</v>
      </c>
      <c r="P143" s="444">
        <v>0</v>
      </c>
      <c r="Q143" s="444">
        <v>0</v>
      </c>
      <c r="R143" s="444">
        <v>0</v>
      </c>
      <c r="S143" s="444">
        <v>0</v>
      </c>
      <c r="T143" s="444">
        <v>0</v>
      </c>
      <c r="U143" s="444">
        <v>0</v>
      </c>
      <c r="V143" s="444">
        <v>0</v>
      </c>
      <c r="W143" s="444">
        <v>60</v>
      </c>
      <c r="X143" s="418"/>
      <c r="Y143" s="445">
        <v>71</v>
      </c>
      <c r="Z143" s="420"/>
      <c r="AA143" s="421">
        <v>78.855000000000004</v>
      </c>
      <c r="AB143" s="421">
        <v>29.978000000000002</v>
      </c>
      <c r="AC143" s="454">
        <v>9</v>
      </c>
      <c r="AE143" s="419" t="s">
        <v>2021</v>
      </c>
      <c r="AF143" s="454">
        <v>1</v>
      </c>
      <c r="AG143" s="429">
        <v>43101</v>
      </c>
      <c r="AJ143" s="430">
        <v>43171</v>
      </c>
      <c r="AL143" s="424" t="s">
        <v>999</v>
      </c>
      <c r="AO143" s="445"/>
      <c r="AP143" s="454">
        <v>556654</v>
      </c>
      <c r="AQ143" s="431">
        <v>43171</v>
      </c>
      <c r="AT143" s="426"/>
      <c r="AU143" s="426"/>
      <c r="AV143" s="426"/>
      <c r="AY143" s="427" t="s">
        <v>1720</v>
      </c>
      <c r="AZ143" s="373"/>
      <c r="BB143" s="374" t="s">
        <v>1726</v>
      </c>
      <c r="BC143" s="445"/>
      <c r="BE143" s="448">
        <v>0</v>
      </c>
      <c r="BF143" s="449">
        <v>0</v>
      </c>
      <c r="BG143" s="428" t="s">
        <v>1764</v>
      </c>
      <c r="BH143" s="445"/>
      <c r="BI143" s="491"/>
      <c r="BJ143" s="491">
        <v>1</v>
      </c>
      <c r="BK143" s="445" t="s">
        <v>2793</v>
      </c>
      <c r="BL143" s="419" t="s">
        <v>2794</v>
      </c>
      <c r="BM143" s="445"/>
      <c r="BN143" s="419" t="s">
        <v>1765</v>
      </c>
      <c r="BO143" s="419" t="s">
        <v>1765</v>
      </c>
      <c r="BP143" s="419" t="s">
        <v>1765</v>
      </c>
      <c r="BQ143" s="419" t="s">
        <v>1269</v>
      </c>
      <c r="BR143" s="419"/>
      <c r="BS143" s="419"/>
      <c r="BT143" s="445"/>
      <c r="BU143" s="445"/>
      <c r="BV143" s="445"/>
      <c r="BW143" s="445" t="s">
        <v>2019</v>
      </c>
      <c r="BX143" s="445"/>
      <c r="BY143" s="445"/>
    </row>
    <row r="144" spans="1:77" ht="15">
      <c r="A144" s="370" t="s">
        <v>1269</v>
      </c>
      <c r="B144" s="415" t="s">
        <v>19</v>
      </c>
      <c r="C144" s="416" t="s">
        <v>1682</v>
      </c>
      <c r="D144" s="444">
        <v>0</v>
      </c>
      <c r="E144" s="415" t="s">
        <v>1718</v>
      </c>
      <c r="F144" s="444">
        <v>3</v>
      </c>
      <c r="G144" s="415" t="s">
        <v>1661</v>
      </c>
      <c r="H144" s="444">
        <v>108</v>
      </c>
      <c r="I144" s="417" t="s">
        <v>1422</v>
      </c>
      <c r="J144" s="444">
        <v>2.1</v>
      </c>
      <c r="K144" s="444">
        <v>271</v>
      </c>
      <c r="L144" s="444">
        <v>0</v>
      </c>
      <c r="M144" s="444">
        <v>0</v>
      </c>
      <c r="N144" s="444">
        <v>1</v>
      </c>
      <c r="O144" s="444">
        <v>0</v>
      </c>
      <c r="P144" s="444">
        <v>0</v>
      </c>
      <c r="Q144" s="444">
        <v>0</v>
      </c>
      <c r="R144" s="444">
        <v>0</v>
      </c>
      <c r="S144" s="444">
        <v>0</v>
      </c>
      <c r="T144" s="444">
        <v>63</v>
      </c>
      <c r="U144" s="444">
        <v>0</v>
      </c>
      <c r="V144" s="444">
        <v>0</v>
      </c>
      <c r="W144" s="444">
        <v>0</v>
      </c>
      <c r="X144" s="418"/>
      <c r="Y144" s="445">
        <v>64</v>
      </c>
      <c r="Z144" s="420"/>
      <c r="AA144" s="421">
        <v>98.486999999999995</v>
      </c>
      <c r="AB144" s="421">
        <v>29.978000000000002</v>
      </c>
      <c r="AC144" s="454">
        <v>10</v>
      </c>
      <c r="AE144" s="419" t="s">
        <v>2022</v>
      </c>
      <c r="AF144" s="454">
        <v>1</v>
      </c>
      <c r="AG144" s="429">
        <v>43101</v>
      </c>
      <c r="AJ144" s="430">
        <v>43171</v>
      </c>
      <c r="AL144" s="424" t="s">
        <v>917</v>
      </c>
      <c r="AO144" s="445"/>
      <c r="AP144" s="454">
        <v>556654</v>
      </c>
      <c r="AQ144" s="431">
        <v>43171</v>
      </c>
      <c r="AT144" s="426"/>
      <c r="AU144" s="426"/>
      <c r="AV144" s="426"/>
      <c r="AY144" s="427" t="s">
        <v>1720</v>
      </c>
      <c r="AZ144" s="373"/>
      <c r="BB144" s="374" t="s">
        <v>1726</v>
      </c>
      <c r="BC144" s="445"/>
      <c r="BE144" s="448">
        <v>0</v>
      </c>
      <c r="BF144" s="449">
        <v>0</v>
      </c>
      <c r="BG144" s="428" t="s">
        <v>1764</v>
      </c>
      <c r="BH144" s="445"/>
      <c r="BI144" s="491"/>
      <c r="BJ144" s="491">
        <v>3</v>
      </c>
      <c r="BK144" s="445" t="s">
        <v>2795</v>
      </c>
      <c r="BL144" s="419" t="s">
        <v>2796</v>
      </c>
      <c r="BM144" s="445"/>
      <c r="BN144" s="419" t="s">
        <v>1765</v>
      </c>
      <c r="BO144" s="419" t="s">
        <v>1765</v>
      </c>
      <c r="BP144" s="419" t="s">
        <v>1765</v>
      </c>
      <c r="BQ144" s="419" t="s">
        <v>1269</v>
      </c>
      <c r="BR144" s="419"/>
      <c r="BS144" s="419"/>
      <c r="BT144" s="445"/>
      <c r="BU144" s="445"/>
      <c r="BV144" s="445"/>
      <c r="BW144" s="445" t="s">
        <v>2019</v>
      </c>
      <c r="BX144" s="445"/>
      <c r="BY144" s="445"/>
    </row>
    <row r="145" spans="1:77" ht="15">
      <c r="A145" s="370" t="s">
        <v>1269</v>
      </c>
      <c r="B145" s="415" t="s">
        <v>19</v>
      </c>
      <c r="C145" s="416" t="s">
        <v>1682</v>
      </c>
      <c r="D145" s="444">
        <v>0</v>
      </c>
      <c r="E145" s="415" t="s">
        <v>1718</v>
      </c>
      <c r="F145" s="444">
        <v>3</v>
      </c>
      <c r="G145" s="415" t="s">
        <v>1661</v>
      </c>
      <c r="H145" s="444">
        <v>65</v>
      </c>
      <c r="I145" s="417" t="s">
        <v>1685</v>
      </c>
      <c r="J145" s="444">
        <v>3.3</v>
      </c>
      <c r="K145" s="444">
        <v>160</v>
      </c>
      <c r="L145" s="444">
        <v>0</v>
      </c>
      <c r="M145" s="444">
        <v>0</v>
      </c>
      <c r="N145" s="444">
        <v>7</v>
      </c>
      <c r="O145" s="444">
        <v>0</v>
      </c>
      <c r="P145" s="444">
        <v>0</v>
      </c>
      <c r="Q145" s="444">
        <v>0</v>
      </c>
      <c r="R145" s="444">
        <v>0</v>
      </c>
      <c r="S145" s="444">
        <v>0</v>
      </c>
      <c r="T145" s="444">
        <v>46</v>
      </c>
      <c r="U145" s="444">
        <v>0</v>
      </c>
      <c r="V145" s="444">
        <v>0</v>
      </c>
      <c r="W145" s="444">
        <v>0</v>
      </c>
      <c r="X145" s="418"/>
      <c r="Y145" s="445">
        <v>53</v>
      </c>
      <c r="Z145" s="420"/>
      <c r="AA145" s="421">
        <v>89.765000000000001</v>
      </c>
      <c r="AB145" s="421">
        <v>29.978000000000002</v>
      </c>
      <c r="AC145" s="454">
        <v>6</v>
      </c>
      <c r="AE145" s="419" t="s">
        <v>2023</v>
      </c>
      <c r="AF145" s="454">
        <v>1</v>
      </c>
      <c r="AG145" s="429">
        <v>43101</v>
      </c>
      <c r="AJ145" s="430">
        <v>43171</v>
      </c>
      <c r="AL145" s="424" t="s">
        <v>1001</v>
      </c>
      <c r="AO145" s="445"/>
      <c r="AP145" s="454">
        <v>556654</v>
      </c>
      <c r="AQ145" s="431">
        <v>43171</v>
      </c>
      <c r="AT145" s="426"/>
      <c r="AU145" s="426"/>
      <c r="AV145" s="426"/>
      <c r="AY145" s="427" t="s">
        <v>1720</v>
      </c>
      <c r="AZ145" s="373"/>
      <c r="BB145" s="374" t="s">
        <v>1726</v>
      </c>
      <c r="BC145" s="445"/>
      <c r="BE145" s="448">
        <v>0</v>
      </c>
      <c r="BF145" s="449">
        <v>0</v>
      </c>
      <c r="BG145" s="428" t="s">
        <v>1764</v>
      </c>
      <c r="BH145" s="445"/>
      <c r="BI145" s="491"/>
      <c r="BJ145" s="491">
        <v>2</v>
      </c>
      <c r="BK145" s="445" t="s">
        <v>2797</v>
      </c>
      <c r="BL145" s="419" t="s">
        <v>2798</v>
      </c>
      <c r="BM145" s="445"/>
      <c r="BN145" s="419" t="s">
        <v>1765</v>
      </c>
      <c r="BO145" s="419" t="s">
        <v>1765</v>
      </c>
      <c r="BP145" s="419" t="s">
        <v>1765</v>
      </c>
      <c r="BQ145" s="419" t="s">
        <v>1269</v>
      </c>
      <c r="BR145" s="419"/>
      <c r="BS145" s="419"/>
      <c r="BT145" s="445"/>
      <c r="BU145" s="445"/>
      <c r="BV145" s="445"/>
      <c r="BW145" s="445" t="s">
        <v>2019</v>
      </c>
      <c r="BX145" s="445"/>
      <c r="BY145" s="445"/>
    </row>
    <row r="146" spans="1:77" ht="15">
      <c r="A146" s="370" t="s">
        <v>1269</v>
      </c>
      <c r="B146" s="415" t="s">
        <v>85</v>
      </c>
      <c r="C146" s="416" t="s">
        <v>1682</v>
      </c>
      <c r="D146" s="444">
        <v>0</v>
      </c>
      <c r="E146" s="415" t="s">
        <v>1749</v>
      </c>
      <c r="F146" s="444">
        <v>3</v>
      </c>
      <c r="G146" s="415" t="s">
        <v>1661</v>
      </c>
      <c r="H146" s="444">
        <v>17</v>
      </c>
      <c r="I146" s="417" t="s">
        <v>1659</v>
      </c>
      <c r="J146" s="444">
        <v>0.7</v>
      </c>
      <c r="K146" s="444">
        <v>62</v>
      </c>
      <c r="L146" s="444">
        <v>0</v>
      </c>
      <c r="M146" s="444">
        <v>12</v>
      </c>
      <c r="N146" s="444">
        <v>0</v>
      </c>
      <c r="O146" s="444">
        <v>0</v>
      </c>
      <c r="P146" s="444">
        <v>0</v>
      </c>
      <c r="Q146" s="444">
        <v>0</v>
      </c>
      <c r="R146" s="444">
        <v>0</v>
      </c>
      <c r="S146" s="444">
        <v>12</v>
      </c>
      <c r="T146" s="444">
        <v>0</v>
      </c>
      <c r="U146" s="444">
        <v>0</v>
      </c>
      <c r="V146" s="444">
        <v>0</v>
      </c>
      <c r="W146" s="444">
        <v>0</v>
      </c>
      <c r="X146" s="418"/>
      <c r="Y146" s="445">
        <v>24</v>
      </c>
      <c r="Z146" s="420"/>
      <c r="AA146" s="421">
        <v>57.261000000000003</v>
      </c>
      <c r="AB146" s="421">
        <v>29.978000000000002</v>
      </c>
      <c r="AC146" s="454">
        <v>4</v>
      </c>
      <c r="AE146" s="419" t="s">
        <v>2024</v>
      </c>
      <c r="AF146" s="454">
        <v>1</v>
      </c>
      <c r="AG146" s="429">
        <v>43101</v>
      </c>
      <c r="AJ146" s="430">
        <v>43172</v>
      </c>
      <c r="AL146" s="424" t="s">
        <v>910</v>
      </c>
      <c r="AO146" s="445"/>
      <c r="AP146" s="454">
        <v>556659</v>
      </c>
      <c r="AQ146" s="431">
        <v>43172</v>
      </c>
      <c r="AT146" s="426"/>
      <c r="AU146" s="426"/>
      <c r="AV146" s="426"/>
      <c r="AY146" s="427" t="s">
        <v>1717</v>
      </c>
      <c r="AZ146" s="373"/>
      <c r="BB146" s="374" t="s">
        <v>1727</v>
      </c>
      <c r="BC146" s="445"/>
      <c r="BE146" s="448">
        <v>0</v>
      </c>
      <c r="BF146" s="449">
        <v>0</v>
      </c>
      <c r="BG146" s="428" t="s">
        <v>1764</v>
      </c>
      <c r="BH146" s="445"/>
      <c r="BI146" s="491"/>
      <c r="BJ146" s="491">
        <v>7</v>
      </c>
      <c r="BK146" s="445" t="s">
        <v>2799</v>
      </c>
      <c r="BL146" s="419" t="s">
        <v>2800</v>
      </c>
      <c r="BM146" s="445"/>
      <c r="BN146" s="419" t="s">
        <v>1765</v>
      </c>
      <c r="BO146" s="419" t="s">
        <v>1765</v>
      </c>
      <c r="BP146" s="419" t="s">
        <v>1765</v>
      </c>
      <c r="BQ146" s="419" t="s">
        <v>1269</v>
      </c>
      <c r="BR146" s="419"/>
      <c r="BS146" s="419"/>
      <c r="BT146" s="445"/>
      <c r="BU146" s="445"/>
      <c r="BV146" s="445"/>
      <c r="BW146" s="445" t="s">
        <v>2019</v>
      </c>
      <c r="BX146" s="445"/>
      <c r="BY146" s="445"/>
    </row>
    <row r="147" spans="1:77" ht="15">
      <c r="A147" s="370" t="s">
        <v>1269</v>
      </c>
      <c r="B147" s="415" t="s">
        <v>85</v>
      </c>
      <c r="C147" s="416" t="s">
        <v>1682</v>
      </c>
      <c r="D147" s="444">
        <v>0</v>
      </c>
      <c r="E147" s="415" t="s">
        <v>1749</v>
      </c>
      <c r="F147" s="444">
        <v>3</v>
      </c>
      <c r="G147" s="415" t="s">
        <v>1661</v>
      </c>
      <c r="H147" s="444">
        <v>17</v>
      </c>
      <c r="I147" s="417" t="s">
        <v>1686</v>
      </c>
      <c r="J147" s="444">
        <v>2</v>
      </c>
      <c r="K147" s="444">
        <v>187</v>
      </c>
      <c r="L147" s="444">
        <v>0</v>
      </c>
      <c r="M147" s="444">
        <v>68</v>
      </c>
      <c r="N147" s="444">
        <v>0</v>
      </c>
      <c r="O147" s="444">
        <v>0</v>
      </c>
      <c r="P147" s="444">
        <v>0</v>
      </c>
      <c r="Q147" s="444">
        <v>0</v>
      </c>
      <c r="R147" s="444">
        <v>0</v>
      </c>
      <c r="S147" s="444">
        <v>27</v>
      </c>
      <c r="T147" s="444">
        <v>0</v>
      </c>
      <c r="U147" s="444">
        <v>0</v>
      </c>
      <c r="V147" s="444">
        <v>25</v>
      </c>
      <c r="W147" s="444">
        <v>1</v>
      </c>
      <c r="X147" s="418"/>
      <c r="Y147" s="445">
        <v>121</v>
      </c>
      <c r="Z147" s="420"/>
      <c r="AA147" s="421">
        <v>47.258000000000003</v>
      </c>
      <c r="AB147" s="421">
        <v>29.978000000000002</v>
      </c>
      <c r="AC147" s="454">
        <v>15</v>
      </c>
      <c r="AE147" s="419" t="s">
        <v>2025</v>
      </c>
      <c r="AF147" s="454">
        <v>1</v>
      </c>
      <c r="AG147" s="429">
        <v>43101</v>
      </c>
      <c r="AJ147" s="430">
        <v>43172</v>
      </c>
      <c r="AL147" s="424" t="s">
        <v>910</v>
      </c>
      <c r="AO147" s="445"/>
      <c r="AP147" s="454">
        <v>556659</v>
      </c>
      <c r="AQ147" s="431">
        <v>43172</v>
      </c>
      <c r="AT147" s="426"/>
      <c r="AU147" s="426"/>
      <c r="AV147" s="426"/>
      <c r="AY147" s="427" t="s">
        <v>1717</v>
      </c>
      <c r="AZ147" s="373"/>
      <c r="BB147" s="374" t="s">
        <v>1727</v>
      </c>
      <c r="BC147" s="445"/>
      <c r="BE147" s="448">
        <v>0</v>
      </c>
      <c r="BF147" s="449">
        <v>0</v>
      </c>
      <c r="BG147" s="428" t="s">
        <v>1764</v>
      </c>
      <c r="BH147" s="445"/>
      <c r="BI147" s="491"/>
      <c r="BJ147" s="491">
        <v>9</v>
      </c>
      <c r="BK147" s="445" t="s">
        <v>2801</v>
      </c>
      <c r="BL147" s="419" t="s">
        <v>2802</v>
      </c>
      <c r="BM147" s="445"/>
      <c r="BN147" s="419" t="s">
        <v>1765</v>
      </c>
      <c r="BO147" s="419" t="s">
        <v>1765</v>
      </c>
      <c r="BP147" s="419" t="s">
        <v>1765</v>
      </c>
      <c r="BQ147" s="419" t="s">
        <v>1269</v>
      </c>
      <c r="BR147" s="419"/>
      <c r="BS147" s="419"/>
      <c r="BT147" s="445"/>
      <c r="BU147" s="445"/>
      <c r="BV147" s="445"/>
      <c r="BW147" s="445" t="s">
        <v>2019</v>
      </c>
      <c r="BX147" s="445"/>
      <c r="BY147" s="445"/>
    </row>
    <row r="148" spans="1:77" ht="15">
      <c r="A148" s="370" t="s">
        <v>1269</v>
      </c>
      <c r="B148" s="415" t="s">
        <v>85</v>
      </c>
      <c r="C148" s="416" t="s">
        <v>1682</v>
      </c>
      <c r="D148" s="444">
        <v>0</v>
      </c>
      <c r="E148" s="415" t="s">
        <v>1749</v>
      </c>
      <c r="F148" s="444">
        <v>3</v>
      </c>
      <c r="G148" s="415" t="s">
        <v>1661</v>
      </c>
      <c r="H148" s="444">
        <v>17</v>
      </c>
      <c r="I148" s="417" t="s">
        <v>1664</v>
      </c>
      <c r="J148" s="444">
        <v>6.5</v>
      </c>
      <c r="K148" s="444">
        <v>423</v>
      </c>
      <c r="L148" s="444">
        <v>0</v>
      </c>
      <c r="M148" s="444">
        <v>95</v>
      </c>
      <c r="N148" s="444">
        <v>0</v>
      </c>
      <c r="O148" s="444">
        <v>0</v>
      </c>
      <c r="P148" s="444">
        <v>0</v>
      </c>
      <c r="Q148" s="444">
        <v>0</v>
      </c>
      <c r="R148" s="444">
        <v>0</v>
      </c>
      <c r="S148" s="444">
        <v>55</v>
      </c>
      <c r="T148" s="444">
        <v>0</v>
      </c>
      <c r="U148" s="444">
        <v>0</v>
      </c>
      <c r="V148" s="444">
        <v>49</v>
      </c>
      <c r="W148" s="444">
        <v>6</v>
      </c>
      <c r="X148" s="418"/>
      <c r="Y148" s="445">
        <v>205</v>
      </c>
      <c r="Z148" s="420"/>
      <c r="AA148" s="421">
        <v>56.543999999999997</v>
      </c>
      <c r="AB148" s="421">
        <v>29.978000000000002</v>
      </c>
      <c r="AC148" s="454">
        <v>27</v>
      </c>
      <c r="AE148" s="419" t="s">
        <v>2026</v>
      </c>
      <c r="AF148" s="454">
        <v>1</v>
      </c>
      <c r="AG148" s="429">
        <v>43101</v>
      </c>
      <c r="AJ148" s="430">
        <v>43172</v>
      </c>
      <c r="AL148" s="424" t="s">
        <v>910</v>
      </c>
      <c r="AO148" s="445"/>
      <c r="AP148" s="454">
        <v>556659</v>
      </c>
      <c r="AQ148" s="431">
        <v>43172</v>
      </c>
      <c r="AT148" s="426"/>
      <c r="AU148" s="426"/>
      <c r="AV148" s="426"/>
      <c r="AY148" s="427" t="s">
        <v>1717</v>
      </c>
      <c r="AZ148" s="373"/>
      <c r="BB148" s="374" t="s">
        <v>1727</v>
      </c>
      <c r="BC148" s="445"/>
      <c r="BE148" s="448">
        <v>0</v>
      </c>
      <c r="BF148" s="449">
        <v>0</v>
      </c>
      <c r="BG148" s="428" t="s">
        <v>1764</v>
      </c>
      <c r="BH148" s="445"/>
      <c r="BI148" s="491"/>
      <c r="BJ148" s="491">
        <v>3</v>
      </c>
      <c r="BK148" s="445" t="s">
        <v>2735</v>
      </c>
      <c r="BL148" s="419" t="s">
        <v>2803</v>
      </c>
      <c r="BM148" s="445"/>
      <c r="BN148" s="419" t="s">
        <v>1765</v>
      </c>
      <c r="BO148" s="419" t="s">
        <v>1765</v>
      </c>
      <c r="BP148" s="419" t="s">
        <v>1765</v>
      </c>
      <c r="BQ148" s="419" t="s">
        <v>1269</v>
      </c>
      <c r="BR148" s="419"/>
      <c r="BS148" s="419"/>
      <c r="BT148" s="445"/>
      <c r="BU148" s="445"/>
      <c r="BV148" s="445"/>
      <c r="BW148" s="445" t="s">
        <v>2019</v>
      </c>
      <c r="BX148" s="445"/>
      <c r="BY148" s="445"/>
    </row>
    <row r="149" spans="1:77" ht="15">
      <c r="A149" s="370" t="s">
        <v>1269</v>
      </c>
      <c r="B149" s="415" t="s">
        <v>85</v>
      </c>
      <c r="C149" s="416" t="s">
        <v>1682</v>
      </c>
      <c r="D149" s="444">
        <v>0</v>
      </c>
      <c r="E149" s="415" t="s">
        <v>1749</v>
      </c>
      <c r="F149" s="444">
        <v>3</v>
      </c>
      <c r="G149" s="415" t="s">
        <v>1661</v>
      </c>
      <c r="H149" s="444">
        <v>17</v>
      </c>
      <c r="I149" s="417" t="s">
        <v>1685</v>
      </c>
      <c r="J149" s="444">
        <v>2.4</v>
      </c>
      <c r="K149" s="444">
        <v>156</v>
      </c>
      <c r="L149" s="444">
        <v>0</v>
      </c>
      <c r="M149" s="444">
        <v>95</v>
      </c>
      <c r="N149" s="444">
        <v>0</v>
      </c>
      <c r="O149" s="444">
        <v>0</v>
      </c>
      <c r="P149" s="444">
        <v>0</v>
      </c>
      <c r="Q149" s="444">
        <v>0</v>
      </c>
      <c r="R149" s="444">
        <v>0</v>
      </c>
      <c r="S149" s="444">
        <v>43</v>
      </c>
      <c r="T149" s="444">
        <v>0</v>
      </c>
      <c r="U149" s="444">
        <v>0</v>
      </c>
      <c r="V149" s="444">
        <v>43</v>
      </c>
      <c r="W149" s="444">
        <v>0</v>
      </c>
      <c r="X149" s="418"/>
      <c r="Y149" s="445">
        <v>181</v>
      </c>
      <c r="Z149" s="420"/>
      <c r="AA149" s="421">
        <v>43.905000000000001</v>
      </c>
      <c r="AB149" s="421">
        <v>29.978000000000002</v>
      </c>
      <c r="AC149" s="454">
        <v>17</v>
      </c>
      <c r="AE149" s="419" t="s">
        <v>2027</v>
      </c>
      <c r="AF149" s="454">
        <v>1</v>
      </c>
      <c r="AG149" s="429">
        <v>43101</v>
      </c>
      <c r="AJ149" s="430">
        <v>43172</v>
      </c>
      <c r="AL149" s="424" t="s">
        <v>910</v>
      </c>
      <c r="AO149" s="445"/>
      <c r="AP149" s="454">
        <v>556659</v>
      </c>
      <c r="AQ149" s="431">
        <v>43172</v>
      </c>
      <c r="AT149" s="426"/>
      <c r="AU149" s="426"/>
      <c r="AV149" s="426"/>
      <c r="AY149" s="427" t="s">
        <v>1717</v>
      </c>
      <c r="AZ149" s="373"/>
      <c r="BB149" s="374" t="s">
        <v>1727</v>
      </c>
      <c r="BC149" s="445"/>
      <c r="BE149" s="448">
        <v>0</v>
      </c>
      <c r="BF149" s="449">
        <v>0</v>
      </c>
      <c r="BG149" s="428" t="s">
        <v>1764</v>
      </c>
      <c r="BH149" s="445"/>
      <c r="BI149" s="491"/>
      <c r="BJ149" s="491">
        <v>6</v>
      </c>
      <c r="BK149" s="445" t="s">
        <v>2804</v>
      </c>
      <c r="BL149" s="419" t="s">
        <v>2805</v>
      </c>
      <c r="BM149" s="445"/>
      <c r="BN149" s="419" t="s">
        <v>1765</v>
      </c>
      <c r="BO149" s="419" t="s">
        <v>1765</v>
      </c>
      <c r="BP149" s="419" t="s">
        <v>1765</v>
      </c>
      <c r="BQ149" s="419" t="s">
        <v>1269</v>
      </c>
      <c r="BR149" s="419"/>
      <c r="BS149" s="419"/>
      <c r="BT149" s="445"/>
      <c r="BU149" s="445"/>
      <c r="BV149" s="445"/>
      <c r="BW149" s="445" t="s">
        <v>2019</v>
      </c>
      <c r="BX149" s="445"/>
      <c r="BY149" s="445"/>
    </row>
    <row r="150" spans="1:77" ht="15">
      <c r="A150" s="370" t="s">
        <v>1269</v>
      </c>
      <c r="B150" s="415" t="s">
        <v>85</v>
      </c>
      <c r="C150" s="416" t="s">
        <v>1682</v>
      </c>
      <c r="D150" s="444">
        <v>0</v>
      </c>
      <c r="E150" s="415" t="s">
        <v>1749</v>
      </c>
      <c r="F150" s="444">
        <v>3</v>
      </c>
      <c r="G150" s="415" t="s">
        <v>1661</v>
      </c>
      <c r="H150" s="444">
        <v>17</v>
      </c>
      <c r="I150" s="417" t="s">
        <v>1688</v>
      </c>
      <c r="J150" s="444">
        <v>4.5</v>
      </c>
      <c r="K150" s="444">
        <v>356</v>
      </c>
      <c r="L150" s="444">
        <v>0</v>
      </c>
      <c r="M150" s="444">
        <v>104</v>
      </c>
      <c r="N150" s="444">
        <v>0</v>
      </c>
      <c r="O150" s="444">
        <v>0</v>
      </c>
      <c r="P150" s="444">
        <v>0</v>
      </c>
      <c r="Q150" s="444">
        <v>0</v>
      </c>
      <c r="R150" s="444">
        <v>0</v>
      </c>
      <c r="S150" s="444">
        <v>55</v>
      </c>
      <c r="T150" s="444">
        <v>0</v>
      </c>
      <c r="U150" s="444">
        <v>0</v>
      </c>
      <c r="V150" s="444">
        <v>55</v>
      </c>
      <c r="W150" s="444">
        <v>1</v>
      </c>
      <c r="X150" s="418"/>
      <c r="Y150" s="445">
        <v>215</v>
      </c>
      <c r="Z150" s="420"/>
      <c r="AA150" s="421">
        <v>52.835999999999999</v>
      </c>
      <c r="AB150" s="421">
        <v>29.978000000000002</v>
      </c>
      <c r="AC150" s="454">
        <v>27</v>
      </c>
      <c r="AE150" s="419" t="s">
        <v>2028</v>
      </c>
      <c r="AF150" s="454">
        <v>1</v>
      </c>
      <c r="AG150" s="429">
        <v>43101</v>
      </c>
      <c r="AJ150" s="430">
        <v>43172</v>
      </c>
      <c r="AL150" s="424" t="s">
        <v>910</v>
      </c>
      <c r="AO150" s="445"/>
      <c r="AP150" s="454">
        <v>556659</v>
      </c>
      <c r="AQ150" s="431">
        <v>43172</v>
      </c>
      <c r="AT150" s="426"/>
      <c r="AU150" s="426"/>
      <c r="AV150" s="426"/>
      <c r="AY150" s="427" t="s">
        <v>1717</v>
      </c>
      <c r="AZ150" s="373"/>
      <c r="BB150" s="374" t="s">
        <v>1727</v>
      </c>
      <c r="BC150" s="445"/>
      <c r="BE150" s="448">
        <v>0</v>
      </c>
      <c r="BF150" s="449">
        <v>0</v>
      </c>
      <c r="BG150" s="428" t="s">
        <v>1764</v>
      </c>
      <c r="BH150" s="445"/>
      <c r="BI150" s="491"/>
      <c r="BJ150" s="491">
        <v>8</v>
      </c>
      <c r="BK150" s="445" t="s">
        <v>2806</v>
      </c>
      <c r="BL150" s="419" t="s">
        <v>2807</v>
      </c>
      <c r="BM150" s="445"/>
      <c r="BN150" s="419" t="s">
        <v>1765</v>
      </c>
      <c r="BO150" s="419" t="s">
        <v>1765</v>
      </c>
      <c r="BP150" s="419" t="s">
        <v>1765</v>
      </c>
      <c r="BQ150" s="419" t="s">
        <v>1269</v>
      </c>
      <c r="BR150" s="419"/>
      <c r="BS150" s="419"/>
      <c r="BT150" s="445"/>
      <c r="BU150" s="445"/>
      <c r="BV150" s="445"/>
      <c r="BW150" s="445" t="s">
        <v>2019</v>
      </c>
      <c r="BX150" s="445"/>
      <c r="BY150" s="445"/>
    </row>
    <row r="151" spans="1:77" ht="15">
      <c r="A151" s="370" t="s">
        <v>1269</v>
      </c>
      <c r="B151" s="415" t="s">
        <v>85</v>
      </c>
      <c r="C151" s="416" t="s">
        <v>1682</v>
      </c>
      <c r="D151" s="444">
        <v>0</v>
      </c>
      <c r="E151" s="415" t="s">
        <v>1749</v>
      </c>
      <c r="F151" s="444">
        <v>3</v>
      </c>
      <c r="G151" s="415" t="s">
        <v>1661</v>
      </c>
      <c r="H151" s="444">
        <v>17</v>
      </c>
      <c r="I151" s="417" t="s">
        <v>1687</v>
      </c>
      <c r="J151" s="444">
        <v>1.2</v>
      </c>
      <c r="K151" s="444">
        <v>143</v>
      </c>
      <c r="L151" s="444">
        <v>0</v>
      </c>
      <c r="M151" s="444">
        <v>35</v>
      </c>
      <c r="N151" s="444">
        <v>0</v>
      </c>
      <c r="O151" s="444">
        <v>0</v>
      </c>
      <c r="P151" s="444">
        <v>0</v>
      </c>
      <c r="Q151" s="444">
        <v>0</v>
      </c>
      <c r="R151" s="444">
        <v>0</v>
      </c>
      <c r="S151" s="444">
        <v>20</v>
      </c>
      <c r="T151" s="444">
        <v>0</v>
      </c>
      <c r="U151" s="444">
        <v>0</v>
      </c>
      <c r="V151" s="444">
        <v>18</v>
      </c>
      <c r="W151" s="444">
        <v>2</v>
      </c>
      <c r="X151" s="418"/>
      <c r="Y151" s="445">
        <v>75</v>
      </c>
      <c r="Z151" s="420"/>
      <c r="AA151" s="421">
        <v>53.603000000000002</v>
      </c>
      <c r="AB151" s="421">
        <v>29.978000000000002</v>
      </c>
      <c r="AC151" s="454">
        <v>10</v>
      </c>
      <c r="AE151" s="419" t="s">
        <v>2029</v>
      </c>
      <c r="AF151" s="454">
        <v>1</v>
      </c>
      <c r="AG151" s="429">
        <v>43101</v>
      </c>
      <c r="AJ151" s="430">
        <v>43172</v>
      </c>
      <c r="AL151" s="424" t="s">
        <v>910</v>
      </c>
      <c r="AO151" s="445"/>
      <c r="AP151" s="454">
        <v>556659</v>
      </c>
      <c r="AQ151" s="431">
        <v>43172</v>
      </c>
      <c r="AT151" s="426"/>
      <c r="AU151" s="426"/>
      <c r="AV151" s="426"/>
      <c r="AY151" s="427" t="s">
        <v>1717</v>
      </c>
      <c r="AZ151" s="373"/>
      <c r="BB151" s="374" t="s">
        <v>1727</v>
      </c>
      <c r="BC151" s="445"/>
      <c r="BE151" s="448">
        <v>0</v>
      </c>
      <c r="BF151" s="449">
        <v>0</v>
      </c>
      <c r="BG151" s="428" t="s">
        <v>1764</v>
      </c>
      <c r="BH151" s="445"/>
      <c r="BI151" s="491"/>
      <c r="BJ151" s="491">
        <v>4</v>
      </c>
      <c r="BK151" s="445" t="s">
        <v>2808</v>
      </c>
      <c r="BL151" s="419" t="s">
        <v>2809</v>
      </c>
      <c r="BM151" s="445"/>
      <c r="BN151" s="419" t="s">
        <v>1765</v>
      </c>
      <c r="BO151" s="419" t="s">
        <v>1765</v>
      </c>
      <c r="BP151" s="419" t="s">
        <v>1765</v>
      </c>
      <c r="BQ151" s="419" t="s">
        <v>1269</v>
      </c>
      <c r="BR151" s="419"/>
      <c r="BS151" s="419"/>
      <c r="BT151" s="445"/>
      <c r="BU151" s="445"/>
      <c r="BV151" s="445"/>
      <c r="BW151" s="445" t="s">
        <v>2019</v>
      </c>
      <c r="BX151" s="445"/>
      <c r="BY151" s="445"/>
    </row>
    <row r="152" spans="1:77" ht="15">
      <c r="A152" s="370" t="s">
        <v>1269</v>
      </c>
      <c r="B152" s="415" t="s">
        <v>85</v>
      </c>
      <c r="C152" s="416" t="s">
        <v>1682</v>
      </c>
      <c r="D152" s="444">
        <v>0</v>
      </c>
      <c r="E152" s="415" t="s">
        <v>1749</v>
      </c>
      <c r="F152" s="444">
        <v>3</v>
      </c>
      <c r="G152" s="415" t="s">
        <v>1661</v>
      </c>
      <c r="H152" s="444">
        <v>17</v>
      </c>
      <c r="I152" s="417" t="s">
        <v>1632</v>
      </c>
      <c r="J152" s="444">
        <v>3.2</v>
      </c>
      <c r="K152" s="444">
        <v>130</v>
      </c>
      <c r="L152" s="444">
        <v>0</v>
      </c>
      <c r="M152" s="444">
        <v>131</v>
      </c>
      <c r="N152" s="444">
        <v>0</v>
      </c>
      <c r="O152" s="444">
        <v>0</v>
      </c>
      <c r="P152" s="444">
        <v>0</v>
      </c>
      <c r="Q152" s="444">
        <v>0</v>
      </c>
      <c r="R152" s="444">
        <v>0</v>
      </c>
      <c r="S152" s="444">
        <v>14</v>
      </c>
      <c r="T152" s="444">
        <v>0</v>
      </c>
      <c r="U152" s="444">
        <v>0</v>
      </c>
      <c r="V152" s="444">
        <v>13</v>
      </c>
      <c r="W152" s="444">
        <v>0</v>
      </c>
      <c r="X152" s="418"/>
      <c r="Y152" s="445">
        <v>158</v>
      </c>
      <c r="Z152" s="420"/>
      <c r="AA152" s="421">
        <v>32.182000000000002</v>
      </c>
      <c r="AB152" s="421">
        <v>29.978000000000002</v>
      </c>
      <c r="AC152" s="454">
        <v>17</v>
      </c>
      <c r="AE152" s="419" t="s">
        <v>2030</v>
      </c>
      <c r="AF152" s="454">
        <v>1</v>
      </c>
      <c r="AG152" s="429">
        <v>43101</v>
      </c>
      <c r="AJ152" s="430">
        <v>43172</v>
      </c>
      <c r="AL152" s="424" t="s">
        <v>910</v>
      </c>
      <c r="AO152" s="445"/>
      <c r="AP152" s="454">
        <v>556659</v>
      </c>
      <c r="AQ152" s="431">
        <v>43172</v>
      </c>
      <c r="AT152" s="426"/>
      <c r="AU152" s="426"/>
      <c r="AV152" s="426"/>
      <c r="AY152" s="427" t="s">
        <v>1717</v>
      </c>
      <c r="AZ152" s="373"/>
      <c r="BB152" s="374" t="s">
        <v>1727</v>
      </c>
      <c r="BC152" s="445"/>
      <c r="BE152" s="448">
        <v>0</v>
      </c>
      <c r="BF152" s="449">
        <v>0</v>
      </c>
      <c r="BG152" s="428" t="s">
        <v>1764</v>
      </c>
      <c r="BH152" s="445"/>
      <c r="BI152" s="491"/>
      <c r="BJ152" s="491">
        <v>2</v>
      </c>
      <c r="BK152" s="445" t="s">
        <v>2810</v>
      </c>
      <c r="BL152" s="419" t="s">
        <v>2811</v>
      </c>
      <c r="BM152" s="445"/>
      <c r="BN152" s="419" t="s">
        <v>1765</v>
      </c>
      <c r="BO152" s="419" t="s">
        <v>1765</v>
      </c>
      <c r="BP152" s="419" t="s">
        <v>1765</v>
      </c>
      <c r="BQ152" s="419" t="s">
        <v>1269</v>
      </c>
      <c r="BR152" s="419"/>
      <c r="BS152" s="419"/>
      <c r="BT152" s="445"/>
      <c r="BU152" s="445"/>
      <c r="BV152" s="445"/>
      <c r="BW152" s="445" t="s">
        <v>2019</v>
      </c>
      <c r="BX152" s="445"/>
      <c r="BY152" s="445"/>
    </row>
    <row r="153" spans="1:77" ht="15">
      <c r="A153" s="370" t="s">
        <v>1269</v>
      </c>
      <c r="B153" s="415" t="s">
        <v>85</v>
      </c>
      <c r="C153" s="416" t="s">
        <v>1682</v>
      </c>
      <c r="D153" s="444">
        <v>0</v>
      </c>
      <c r="E153" s="415" t="s">
        <v>1749</v>
      </c>
      <c r="F153" s="444">
        <v>3</v>
      </c>
      <c r="G153" s="415" t="s">
        <v>1661</v>
      </c>
      <c r="H153" s="444">
        <v>17</v>
      </c>
      <c r="I153" s="417" t="s">
        <v>1768</v>
      </c>
      <c r="J153" s="444">
        <v>0.5</v>
      </c>
      <c r="K153" s="444">
        <v>22</v>
      </c>
      <c r="L153" s="444">
        <v>0</v>
      </c>
      <c r="M153" s="444">
        <v>2</v>
      </c>
      <c r="N153" s="444">
        <v>0</v>
      </c>
      <c r="O153" s="444">
        <v>0</v>
      </c>
      <c r="P153" s="444">
        <v>0</v>
      </c>
      <c r="Q153" s="444">
        <v>0</v>
      </c>
      <c r="R153" s="444">
        <v>0</v>
      </c>
      <c r="S153" s="444">
        <v>5</v>
      </c>
      <c r="T153" s="444">
        <v>0</v>
      </c>
      <c r="U153" s="444">
        <v>0</v>
      </c>
      <c r="V153" s="444">
        <v>0</v>
      </c>
      <c r="W153" s="444">
        <v>0</v>
      </c>
      <c r="X153" s="418"/>
      <c r="Y153" s="445">
        <v>7</v>
      </c>
      <c r="Z153" s="420"/>
      <c r="AA153" s="421">
        <v>73.501999999999995</v>
      </c>
      <c r="AB153" s="421">
        <v>29.978000000000002</v>
      </c>
      <c r="AC153" s="454">
        <v>2</v>
      </c>
      <c r="AE153" s="419" t="s">
        <v>2031</v>
      </c>
      <c r="AF153" s="454">
        <v>1</v>
      </c>
      <c r="AG153" s="429">
        <v>43101</v>
      </c>
      <c r="AJ153" s="430">
        <v>43172</v>
      </c>
      <c r="AL153" s="424" t="s">
        <v>910</v>
      </c>
      <c r="AO153" s="445"/>
      <c r="AP153" s="454">
        <v>556659</v>
      </c>
      <c r="AQ153" s="431">
        <v>43172</v>
      </c>
      <c r="AT153" s="426"/>
      <c r="AU153" s="426"/>
      <c r="AV153" s="426"/>
      <c r="AY153" s="427" t="s">
        <v>1717</v>
      </c>
      <c r="AZ153" s="373"/>
      <c r="BB153" s="374" t="s">
        <v>1727</v>
      </c>
      <c r="BC153" s="445"/>
      <c r="BE153" s="448">
        <v>0</v>
      </c>
      <c r="BF153" s="449">
        <v>0</v>
      </c>
      <c r="BG153" s="428" t="s">
        <v>1764</v>
      </c>
      <c r="BH153" s="445"/>
      <c r="BI153" s="491"/>
      <c r="BJ153" s="491">
        <v>5</v>
      </c>
      <c r="BK153" s="445" t="s">
        <v>2812</v>
      </c>
      <c r="BL153" s="419" t="s">
        <v>2813</v>
      </c>
      <c r="BM153" s="445"/>
      <c r="BN153" s="419" t="s">
        <v>1765</v>
      </c>
      <c r="BO153" s="419" t="s">
        <v>1765</v>
      </c>
      <c r="BP153" s="419" t="s">
        <v>1765</v>
      </c>
      <c r="BQ153" s="419" t="s">
        <v>1269</v>
      </c>
      <c r="BR153" s="419"/>
      <c r="BS153" s="419"/>
      <c r="BT153" s="445"/>
      <c r="BU153" s="445"/>
      <c r="BV153" s="445"/>
      <c r="BW153" s="445" t="s">
        <v>2019</v>
      </c>
      <c r="BX153" s="445"/>
      <c r="BY153" s="445"/>
    </row>
    <row r="154" spans="1:77" ht="15">
      <c r="A154" s="370" t="s">
        <v>1269</v>
      </c>
      <c r="B154" s="415" t="s">
        <v>85</v>
      </c>
      <c r="C154" s="416" t="s">
        <v>1767</v>
      </c>
      <c r="D154" s="444">
        <v>0</v>
      </c>
      <c r="E154" s="415" t="s">
        <v>1749</v>
      </c>
      <c r="F154" s="444">
        <v>3</v>
      </c>
      <c r="G154" s="415" t="s">
        <v>1661</v>
      </c>
      <c r="H154" s="444">
        <v>117</v>
      </c>
      <c r="I154" s="417" t="s">
        <v>2007</v>
      </c>
      <c r="J154" s="444">
        <v>2.4</v>
      </c>
      <c r="K154" s="444">
        <v>458</v>
      </c>
      <c r="L154" s="444">
        <v>0</v>
      </c>
      <c r="M154" s="444">
        <v>70</v>
      </c>
      <c r="N154" s="444">
        <v>0</v>
      </c>
      <c r="O154" s="444">
        <v>0</v>
      </c>
      <c r="P154" s="444">
        <v>0</v>
      </c>
      <c r="Q154" s="444">
        <v>0</v>
      </c>
      <c r="R154" s="444">
        <v>0</v>
      </c>
      <c r="S154" s="444">
        <v>55</v>
      </c>
      <c r="T154" s="444">
        <v>0</v>
      </c>
      <c r="U154" s="444">
        <v>0</v>
      </c>
      <c r="V154" s="444">
        <v>56</v>
      </c>
      <c r="W154" s="444">
        <v>0</v>
      </c>
      <c r="X154" s="418"/>
      <c r="Y154" s="445">
        <v>181</v>
      </c>
      <c r="Z154" s="420"/>
      <c r="AA154" s="421">
        <v>61.749000000000002</v>
      </c>
      <c r="AB154" s="421">
        <v>29.978000000000002</v>
      </c>
      <c r="AC154" s="454">
        <v>25</v>
      </c>
      <c r="AE154" s="419" t="s">
        <v>2032</v>
      </c>
      <c r="AF154" s="454">
        <v>1</v>
      </c>
      <c r="AG154" s="429">
        <v>43101</v>
      </c>
      <c r="AJ154" s="430">
        <v>43174</v>
      </c>
      <c r="AL154" s="424" t="s">
        <v>1198</v>
      </c>
      <c r="AO154" s="445"/>
      <c r="AP154" s="454">
        <v>556661</v>
      </c>
      <c r="AQ154" s="431">
        <v>43174</v>
      </c>
      <c r="AT154" s="426"/>
      <c r="AU154" s="426"/>
      <c r="AV154" s="426"/>
      <c r="AY154" s="427" t="s">
        <v>1717</v>
      </c>
      <c r="AZ154" s="373"/>
      <c r="BB154" s="374" t="s">
        <v>1727</v>
      </c>
      <c r="BC154" s="445"/>
      <c r="BE154" s="448">
        <v>0</v>
      </c>
      <c r="BF154" s="449">
        <v>0</v>
      </c>
      <c r="BG154" s="428" t="s">
        <v>1764</v>
      </c>
      <c r="BH154" s="445"/>
      <c r="BI154" s="491"/>
      <c r="BJ154" s="491">
        <v>12</v>
      </c>
      <c r="BK154" s="445" t="s">
        <v>2814</v>
      </c>
      <c r="BL154" s="419" t="s">
        <v>2815</v>
      </c>
      <c r="BM154" s="445"/>
      <c r="BN154" s="419" t="s">
        <v>1765</v>
      </c>
      <c r="BO154" s="419" t="s">
        <v>1765</v>
      </c>
      <c r="BP154" s="419" t="s">
        <v>1765</v>
      </c>
      <c r="BQ154" s="419" t="s">
        <v>1269</v>
      </c>
      <c r="BR154" s="419"/>
      <c r="BS154" s="419"/>
      <c r="BT154" s="445"/>
      <c r="BU154" s="445"/>
      <c r="BV154" s="445"/>
      <c r="BW154" s="445" t="s">
        <v>2019</v>
      </c>
      <c r="BX154" s="445"/>
      <c r="BY154" s="445"/>
    </row>
    <row r="155" spans="1:77" ht="15">
      <c r="A155" s="370" t="s">
        <v>1269</v>
      </c>
      <c r="B155" s="415" t="s">
        <v>85</v>
      </c>
      <c r="C155" s="416" t="s">
        <v>1767</v>
      </c>
      <c r="D155" s="444">
        <v>0</v>
      </c>
      <c r="E155" s="415" t="s">
        <v>1749</v>
      </c>
      <c r="F155" s="444">
        <v>3</v>
      </c>
      <c r="G155" s="415" t="s">
        <v>1661</v>
      </c>
      <c r="H155" s="444">
        <v>117</v>
      </c>
      <c r="I155" s="417" t="s">
        <v>1659</v>
      </c>
      <c r="J155" s="444">
        <v>1.1000000000000001</v>
      </c>
      <c r="K155" s="444">
        <v>130</v>
      </c>
      <c r="L155" s="444">
        <v>0</v>
      </c>
      <c r="M155" s="444">
        <v>36</v>
      </c>
      <c r="N155" s="444">
        <v>0</v>
      </c>
      <c r="O155" s="444">
        <v>0</v>
      </c>
      <c r="P155" s="444">
        <v>0</v>
      </c>
      <c r="Q155" s="444">
        <v>0</v>
      </c>
      <c r="R155" s="444">
        <v>0</v>
      </c>
      <c r="S155" s="444">
        <v>20</v>
      </c>
      <c r="T155" s="444">
        <v>0</v>
      </c>
      <c r="U155" s="444">
        <v>0</v>
      </c>
      <c r="V155" s="444">
        <v>19</v>
      </c>
      <c r="W155" s="444">
        <v>0</v>
      </c>
      <c r="X155" s="418"/>
      <c r="Y155" s="445">
        <v>75</v>
      </c>
      <c r="Z155" s="420"/>
      <c r="AA155" s="421">
        <v>52.948999999999998</v>
      </c>
      <c r="AB155" s="421">
        <v>29.978000000000002</v>
      </c>
      <c r="AC155" s="454">
        <v>9</v>
      </c>
      <c r="AE155" s="419" t="s">
        <v>2033</v>
      </c>
      <c r="AF155" s="454">
        <v>1</v>
      </c>
      <c r="AG155" s="429">
        <v>43101</v>
      </c>
      <c r="AJ155" s="430">
        <v>43174</v>
      </c>
      <c r="AL155" s="424" t="s">
        <v>1198</v>
      </c>
      <c r="AO155" s="445"/>
      <c r="AP155" s="454">
        <v>556661</v>
      </c>
      <c r="AQ155" s="431">
        <v>43174</v>
      </c>
      <c r="AT155" s="426"/>
      <c r="AU155" s="426"/>
      <c r="AV155" s="426"/>
      <c r="AY155" s="427" t="s">
        <v>1717</v>
      </c>
      <c r="AZ155" s="373"/>
      <c r="BB155" s="374" t="s">
        <v>1727</v>
      </c>
      <c r="BC155" s="445"/>
      <c r="BE155" s="448">
        <v>0</v>
      </c>
      <c r="BF155" s="449">
        <v>0</v>
      </c>
      <c r="BG155" s="428" t="s">
        <v>1764</v>
      </c>
      <c r="BH155" s="445"/>
      <c r="BI155" s="491"/>
      <c r="BJ155" s="491">
        <v>10</v>
      </c>
      <c r="BK155" s="445" t="s">
        <v>2816</v>
      </c>
      <c r="BL155" s="419" t="s">
        <v>2817</v>
      </c>
      <c r="BM155" s="445"/>
      <c r="BN155" s="419" t="s">
        <v>1765</v>
      </c>
      <c r="BO155" s="419" t="s">
        <v>1765</v>
      </c>
      <c r="BP155" s="419" t="s">
        <v>1765</v>
      </c>
      <c r="BQ155" s="419" t="s">
        <v>1269</v>
      </c>
      <c r="BR155" s="419"/>
      <c r="BS155" s="419"/>
      <c r="BT155" s="445"/>
      <c r="BU155" s="445"/>
      <c r="BV155" s="445"/>
      <c r="BW155" s="445" t="s">
        <v>2019</v>
      </c>
      <c r="BX155" s="445"/>
      <c r="BY155" s="445"/>
    </row>
    <row r="156" spans="1:77" ht="15">
      <c r="A156" s="370" t="s">
        <v>1269</v>
      </c>
      <c r="B156" s="415" t="s">
        <v>85</v>
      </c>
      <c r="C156" s="416" t="s">
        <v>1767</v>
      </c>
      <c r="D156" s="444">
        <v>0</v>
      </c>
      <c r="E156" s="415" t="s">
        <v>1749</v>
      </c>
      <c r="F156" s="444">
        <v>3</v>
      </c>
      <c r="G156" s="415" t="s">
        <v>1661</v>
      </c>
      <c r="H156" s="444">
        <v>117</v>
      </c>
      <c r="I156" s="417" t="s">
        <v>1688</v>
      </c>
      <c r="J156" s="444">
        <v>0.5</v>
      </c>
      <c r="K156" s="444">
        <v>103</v>
      </c>
      <c r="L156" s="444">
        <v>0</v>
      </c>
      <c r="M156" s="444">
        <v>19</v>
      </c>
      <c r="N156" s="444">
        <v>0</v>
      </c>
      <c r="O156" s="444">
        <v>0</v>
      </c>
      <c r="P156" s="444">
        <v>0</v>
      </c>
      <c r="Q156" s="444">
        <v>0</v>
      </c>
      <c r="R156" s="444">
        <v>0</v>
      </c>
      <c r="S156" s="444">
        <v>10</v>
      </c>
      <c r="T156" s="444">
        <v>0</v>
      </c>
      <c r="U156" s="444">
        <v>0</v>
      </c>
      <c r="V156" s="444">
        <v>16</v>
      </c>
      <c r="W156" s="444">
        <v>0</v>
      </c>
      <c r="X156" s="418"/>
      <c r="Y156" s="445">
        <v>45</v>
      </c>
      <c r="Z156" s="420"/>
      <c r="AA156" s="421">
        <v>57.999000000000002</v>
      </c>
      <c r="AB156" s="421">
        <v>29.978000000000002</v>
      </c>
      <c r="AC156" s="454">
        <v>6</v>
      </c>
      <c r="AE156" s="419" t="s">
        <v>2034</v>
      </c>
      <c r="AF156" s="454">
        <v>1</v>
      </c>
      <c r="AG156" s="429">
        <v>43101</v>
      </c>
      <c r="AJ156" s="430">
        <v>43174</v>
      </c>
      <c r="AL156" s="424" t="s">
        <v>1198</v>
      </c>
      <c r="AO156" s="445"/>
      <c r="AP156" s="454">
        <v>556661</v>
      </c>
      <c r="AQ156" s="431">
        <v>43174</v>
      </c>
      <c r="AT156" s="426"/>
      <c r="AU156" s="426"/>
      <c r="AV156" s="426"/>
      <c r="AY156" s="427" t="s">
        <v>1717</v>
      </c>
      <c r="AZ156" s="373"/>
      <c r="BB156" s="374" t="s">
        <v>1727</v>
      </c>
      <c r="BC156" s="445"/>
      <c r="BE156" s="448">
        <v>0</v>
      </c>
      <c r="BF156" s="449">
        <v>0</v>
      </c>
      <c r="BG156" s="428" t="s">
        <v>1764</v>
      </c>
      <c r="BH156" s="445"/>
      <c r="BI156" s="491"/>
      <c r="BJ156" s="491">
        <v>11</v>
      </c>
      <c r="BK156" s="445" t="s">
        <v>2818</v>
      </c>
      <c r="BL156" s="419" t="s">
        <v>2819</v>
      </c>
      <c r="BM156" s="445"/>
      <c r="BN156" s="419" t="s">
        <v>1765</v>
      </c>
      <c r="BO156" s="419" t="s">
        <v>1765</v>
      </c>
      <c r="BP156" s="419" t="s">
        <v>1765</v>
      </c>
      <c r="BQ156" s="419" t="s">
        <v>1269</v>
      </c>
      <c r="BR156" s="419"/>
      <c r="BS156" s="419"/>
      <c r="BT156" s="445"/>
      <c r="BU156" s="445"/>
      <c r="BV156" s="445"/>
      <c r="BW156" s="445" t="s">
        <v>2019</v>
      </c>
      <c r="BX156" s="445"/>
      <c r="BY156" s="445"/>
    </row>
    <row r="157" spans="1:77" ht="15">
      <c r="A157" s="370" t="s">
        <v>1269</v>
      </c>
      <c r="B157" s="415" t="s">
        <v>177</v>
      </c>
      <c r="C157" s="416" t="s">
        <v>1682</v>
      </c>
      <c r="D157" s="444">
        <v>0</v>
      </c>
      <c r="E157" s="415" t="s">
        <v>1716</v>
      </c>
      <c r="F157" s="444">
        <v>3</v>
      </c>
      <c r="G157" s="415" t="s">
        <v>1661</v>
      </c>
      <c r="H157" s="444">
        <v>47</v>
      </c>
      <c r="I157" s="417" t="s">
        <v>1632</v>
      </c>
      <c r="J157" s="444">
        <v>1.8</v>
      </c>
      <c r="K157" s="444">
        <v>147</v>
      </c>
      <c r="L157" s="444">
        <v>0</v>
      </c>
      <c r="M157" s="444">
        <v>0</v>
      </c>
      <c r="N157" s="444">
        <v>1</v>
      </c>
      <c r="O157" s="444">
        <v>0</v>
      </c>
      <c r="P157" s="444">
        <v>0</v>
      </c>
      <c r="Q157" s="444">
        <v>0</v>
      </c>
      <c r="R157" s="444">
        <v>0</v>
      </c>
      <c r="S157" s="444">
        <v>0</v>
      </c>
      <c r="T157" s="444">
        <v>26</v>
      </c>
      <c r="U157" s="444">
        <v>0</v>
      </c>
      <c r="V157" s="444">
        <v>0</v>
      </c>
      <c r="W157" s="444">
        <v>1</v>
      </c>
      <c r="X157" s="418"/>
      <c r="Y157" s="445">
        <v>28</v>
      </c>
      <c r="Z157" s="420"/>
      <c r="AA157" s="421">
        <v>116.983</v>
      </c>
      <c r="AB157" s="421">
        <v>29.978000000000002</v>
      </c>
      <c r="AC157" s="454">
        <v>4</v>
      </c>
      <c r="AE157" s="419" t="s">
        <v>2035</v>
      </c>
      <c r="AF157" s="454">
        <v>1</v>
      </c>
      <c r="AG157" s="429">
        <v>43101</v>
      </c>
      <c r="AJ157" s="430">
        <v>43171</v>
      </c>
      <c r="AL157" s="424" t="s">
        <v>920</v>
      </c>
      <c r="AO157" s="445"/>
      <c r="AP157" s="454">
        <v>556657</v>
      </c>
      <c r="AQ157" s="431">
        <v>43171</v>
      </c>
      <c r="AT157" s="426"/>
      <c r="AU157" s="426"/>
      <c r="AV157" s="426"/>
      <c r="AY157" s="427" t="s">
        <v>1717</v>
      </c>
      <c r="AZ157" s="373"/>
      <c r="BB157" s="374" t="s">
        <v>1727</v>
      </c>
      <c r="BC157" s="445"/>
      <c r="BE157" s="448">
        <v>0</v>
      </c>
      <c r="BF157" s="449">
        <v>0</v>
      </c>
      <c r="BG157" s="428" t="s">
        <v>1764</v>
      </c>
      <c r="BH157" s="445"/>
      <c r="BI157" s="491"/>
      <c r="BJ157" s="491">
        <v>1</v>
      </c>
      <c r="BK157" s="445" t="s">
        <v>310</v>
      </c>
      <c r="BL157" s="419" t="s">
        <v>2820</v>
      </c>
      <c r="BM157" s="445"/>
      <c r="BN157" s="419" t="s">
        <v>1765</v>
      </c>
      <c r="BO157" s="419" t="s">
        <v>1765</v>
      </c>
      <c r="BP157" s="419" t="s">
        <v>1765</v>
      </c>
      <c r="BQ157" s="419" t="s">
        <v>1269</v>
      </c>
      <c r="BR157" s="419"/>
      <c r="BS157" s="419"/>
      <c r="BT157" s="445"/>
      <c r="BU157" s="445"/>
      <c r="BV157" s="445"/>
      <c r="BW157" s="445" t="s">
        <v>2019</v>
      </c>
      <c r="BX157" s="445"/>
      <c r="BY157" s="445"/>
    </row>
    <row r="158" spans="1:77" ht="15">
      <c r="A158" s="370" t="s">
        <v>1269</v>
      </c>
      <c r="B158" s="415" t="s">
        <v>177</v>
      </c>
      <c r="C158" s="416" t="s">
        <v>1682</v>
      </c>
      <c r="D158" s="444">
        <v>0</v>
      </c>
      <c r="E158" s="415" t="s">
        <v>1716</v>
      </c>
      <c r="F158" s="444">
        <v>3</v>
      </c>
      <c r="G158" s="415" t="s">
        <v>1661</v>
      </c>
      <c r="H158" s="444">
        <v>53</v>
      </c>
      <c r="I158" s="417" t="s">
        <v>1687</v>
      </c>
      <c r="J158" s="444">
        <v>4.3</v>
      </c>
      <c r="K158" s="444">
        <v>259</v>
      </c>
      <c r="L158" s="444">
        <v>0</v>
      </c>
      <c r="M158" s="444">
        <v>0</v>
      </c>
      <c r="N158" s="444">
        <v>0</v>
      </c>
      <c r="O158" s="444">
        <v>0</v>
      </c>
      <c r="P158" s="444">
        <v>0</v>
      </c>
      <c r="Q158" s="444">
        <v>0</v>
      </c>
      <c r="R158" s="444">
        <v>0</v>
      </c>
      <c r="S158" s="444">
        <v>0</v>
      </c>
      <c r="T158" s="444">
        <v>41</v>
      </c>
      <c r="U158" s="444">
        <v>0</v>
      </c>
      <c r="V158" s="444">
        <v>0</v>
      </c>
      <c r="W158" s="444">
        <v>2</v>
      </c>
      <c r="X158" s="418"/>
      <c r="Y158" s="445">
        <v>43</v>
      </c>
      <c r="Z158" s="420"/>
      <c r="AA158" s="421">
        <v>126.605</v>
      </c>
      <c r="AB158" s="421">
        <v>29.978000000000002</v>
      </c>
      <c r="AC158" s="454">
        <v>4</v>
      </c>
      <c r="AE158" s="419" t="s">
        <v>2036</v>
      </c>
      <c r="AF158" s="454">
        <v>1</v>
      </c>
      <c r="AG158" s="429">
        <v>43101</v>
      </c>
      <c r="AJ158" s="430">
        <v>43171</v>
      </c>
      <c r="AL158" s="424" t="s">
        <v>1681</v>
      </c>
      <c r="AO158" s="445"/>
      <c r="AP158" s="454">
        <v>556657</v>
      </c>
      <c r="AQ158" s="431">
        <v>43171</v>
      </c>
      <c r="AT158" s="426"/>
      <c r="AU158" s="426"/>
      <c r="AV158" s="426"/>
      <c r="AY158" s="427" t="s">
        <v>1717</v>
      </c>
      <c r="AZ158" s="373"/>
      <c r="BB158" s="374" t="s">
        <v>1727</v>
      </c>
      <c r="BC158" s="445"/>
      <c r="BE158" s="448">
        <v>0</v>
      </c>
      <c r="BF158" s="449">
        <v>0</v>
      </c>
      <c r="BG158" s="428" t="s">
        <v>1764</v>
      </c>
      <c r="BH158" s="445"/>
      <c r="BI158" s="491"/>
      <c r="BJ158" s="491">
        <v>2</v>
      </c>
      <c r="BK158" s="445" t="s">
        <v>226</v>
      </c>
      <c r="BL158" s="419" t="s">
        <v>2821</v>
      </c>
      <c r="BM158" s="445"/>
      <c r="BN158" s="419" t="s">
        <v>1765</v>
      </c>
      <c r="BO158" s="419" t="s">
        <v>1765</v>
      </c>
      <c r="BP158" s="419" t="s">
        <v>1765</v>
      </c>
      <c r="BQ158" s="419" t="s">
        <v>1269</v>
      </c>
      <c r="BR158" s="419"/>
      <c r="BS158" s="419"/>
      <c r="BT158" s="445"/>
      <c r="BU158" s="445"/>
      <c r="BV158" s="445"/>
      <c r="BW158" s="445" t="s">
        <v>2019</v>
      </c>
      <c r="BX158" s="445"/>
      <c r="BY158" s="445"/>
    </row>
    <row r="159" spans="1:77" ht="15">
      <c r="A159" s="370" t="s">
        <v>1269</v>
      </c>
      <c r="B159" s="415" t="s">
        <v>177</v>
      </c>
      <c r="C159" s="416" t="s">
        <v>1682</v>
      </c>
      <c r="D159" s="444">
        <v>0</v>
      </c>
      <c r="E159" s="415" t="s">
        <v>1716</v>
      </c>
      <c r="F159" s="444">
        <v>3</v>
      </c>
      <c r="G159" s="415" t="s">
        <v>1661</v>
      </c>
      <c r="H159" s="444">
        <v>58</v>
      </c>
      <c r="I159" s="417" t="s">
        <v>1688</v>
      </c>
      <c r="J159" s="444">
        <v>3.6</v>
      </c>
      <c r="K159" s="444">
        <v>149</v>
      </c>
      <c r="L159" s="444">
        <v>0</v>
      </c>
      <c r="M159" s="444">
        <v>1</v>
      </c>
      <c r="N159" s="444">
        <v>4</v>
      </c>
      <c r="O159" s="444">
        <v>0</v>
      </c>
      <c r="P159" s="444">
        <v>0</v>
      </c>
      <c r="Q159" s="444">
        <v>0</v>
      </c>
      <c r="R159" s="444">
        <v>0</v>
      </c>
      <c r="S159" s="444">
        <v>9</v>
      </c>
      <c r="T159" s="444">
        <v>33</v>
      </c>
      <c r="U159" s="444">
        <v>0</v>
      </c>
      <c r="V159" s="444">
        <v>1</v>
      </c>
      <c r="W159" s="444">
        <v>2</v>
      </c>
      <c r="X159" s="418"/>
      <c r="Y159" s="445">
        <v>50</v>
      </c>
      <c r="Z159" s="420"/>
      <c r="AA159" s="421">
        <v>88.582999999999998</v>
      </c>
      <c r="AB159" s="421">
        <v>29.978000000000002</v>
      </c>
      <c r="AC159" s="454">
        <v>5</v>
      </c>
      <c r="AE159" s="419" t="s">
        <v>2037</v>
      </c>
      <c r="AF159" s="454">
        <v>1</v>
      </c>
      <c r="AG159" s="429">
        <v>43101</v>
      </c>
      <c r="AJ159" s="430">
        <v>43171</v>
      </c>
      <c r="AL159" s="424" t="s">
        <v>1015</v>
      </c>
      <c r="AO159" s="445"/>
      <c r="AP159" s="454">
        <v>556657</v>
      </c>
      <c r="AQ159" s="431">
        <v>43171</v>
      </c>
      <c r="AT159" s="426"/>
      <c r="AU159" s="426"/>
      <c r="AV159" s="426"/>
      <c r="AY159" s="427" t="s">
        <v>1717</v>
      </c>
      <c r="AZ159" s="373"/>
      <c r="BB159" s="374" t="s">
        <v>1727</v>
      </c>
      <c r="BC159" s="445"/>
      <c r="BE159" s="448">
        <v>0</v>
      </c>
      <c r="BF159" s="449">
        <v>0</v>
      </c>
      <c r="BG159" s="428" t="s">
        <v>1764</v>
      </c>
      <c r="BH159" s="445"/>
      <c r="BI159" s="491"/>
      <c r="BJ159" s="491">
        <v>3</v>
      </c>
      <c r="BK159" s="445" t="s">
        <v>201</v>
      </c>
      <c r="BL159" s="419" t="s">
        <v>2822</v>
      </c>
      <c r="BM159" s="445"/>
      <c r="BN159" s="419" t="s">
        <v>1765</v>
      </c>
      <c r="BO159" s="419" t="s">
        <v>1765</v>
      </c>
      <c r="BP159" s="419" t="s">
        <v>1765</v>
      </c>
      <c r="BQ159" s="419" t="s">
        <v>1269</v>
      </c>
      <c r="BR159" s="419"/>
      <c r="BS159" s="419"/>
      <c r="BT159" s="445"/>
      <c r="BU159" s="445"/>
      <c r="BV159" s="445"/>
      <c r="BW159" s="445" t="s">
        <v>2019</v>
      </c>
      <c r="BX159" s="445"/>
      <c r="BY159" s="445"/>
    </row>
    <row r="160" spans="1:77" ht="15">
      <c r="A160" s="370" t="s">
        <v>1269</v>
      </c>
      <c r="B160" s="415" t="s">
        <v>296</v>
      </c>
      <c r="C160" s="416" t="s">
        <v>1682</v>
      </c>
      <c r="D160" s="444">
        <v>0</v>
      </c>
      <c r="E160" s="415" t="s">
        <v>1716</v>
      </c>
      <c r="F160" s="444">
        <v>3</v>
      </c>
      <c r="G160" s="415" t="s">
        <v>1661</v>
      </c>
      <c r="H160" s="444">
        <v>8</v>
      </c>
      <c r="I160" s="417" t="s">
        <v>1686</v>
      </c>
      <c r="J160" s="444">
        <v>3.9</v>
      </c>
      <c r="K160" s="444">
        <v>102</v>
      </c>
      <c r="L160" s="444">
        <v>0</v>
      </c>
      <c r="M160" s="444">
        <v>0</v>
      </c>
      <c r="N160" s="444">
        <v>10</v>
      </c>
      <c r="O160" s="444">
        <v>0</v>
      </c>
      <c r="P160" s="444">
        <v>0</v>
      </c>
      <c r="Q160" s="444">
        <v>0</v>
      </c>
      <c r="R160" s="444">
        <v>0</v>
      </c>
      <c r="S160" s="444">
        <v>0</v>
      </c>
      <c r="T160" s="444">
        <v>0</v>
      </c>
      <c r="U160" s="444">
        <v>9</v>
      </c>
      <c r="V160" s="444">
        <v>0</v>
      </c>
      <c r="W160" s="444">
        <v>45</v>
      </c>
      <c r="X160" s="418"/>
      <c r="Y160" s="445">
        <v>64</v>
      </c>
      <c r="Z160" s="420"/>
      <c r="AA160" s="421">
        <v>73.003</v>
      </c>
      <c r="AB160" s="421">
        <v>29.978000000000002</v>
      </c>
      <c r="AC160" s="454">
        <v>4</v>
      </c>
      <c r="AE160" s="419" t="s">
        <v>2038</v>
      </c>
      <c r="AF160" s="454">
        <v>1</v>
      </c>
      <c r="AG160" s="429">
        <v>43101</v>
      </c>
      <c r="AJ160" s="430">
        <v>43174</v>
      </c>
      <c r="AL160" s="424" t="s">
        <v>1024</v>
      </c>
      <c r="AO160" s="445"/>
      <c r="AP160" s="454">
        <v>556660</v>
      </c>
      <c r="AQ160" s="431">
        <v>43174</v>
      </c>
      <c r="AT160" s="426"/>
      <c r="AU160" s="426"/>
      <c r="AV160" s="426"/>
      <c r="AY160" s="427" t="s">
        <v>1722</v>
      </c>
      <c r="AZ160" s="373"/>
      <c r="BB160" s="374" t="s">
        <v>1728</v>
      </c>
      <c r="BC160" s="445"/>
      <c r="BE160" s="448">
        <v>0</v>
      </c>
      <c r="BF160" s="449">
        <v>0</v>
      </c>
      <c r="BG160" s="428" t="s">
        <v>1764</v>
      </c>
      <c r="BH160" s="445"/>
      <c r="BI160" s="491"/>
      <c r="BJ160" s="491">
        <v>1</v>
      </c>
      <c r="BK160" s="445" t="s">
        <v>2823</v>
      </c>
      <c r="BL160" s="419" t="s">
        <v>2824</v>
      </c>
      <c r="BM160" s="445"/>
      <c r="BN160" s="419" t="s">
        <v>1765</v>
      </c>
      <c r="BO160" s="419" t="s">
        <v>1765</v>
      </c>
      <c r="BP160" s="419" t="s">
        <v>1765</v>
      </c>
      <c r="BQ160" s="419" t="s">
        <v>1269</v>
      </c>
      <c r="BR160" s="419"/>
      <c r="BS160" s="419"/>
      <c r="BT160" s="445"/>
      <c r="BU160" s="445"/>
      <c r="BV160" s="445"/>
      <c r="BW160" s="445" t="s">
        <v>2019</v>
      </c>
      <c r="BX160" s="445"/>
      <c r="BY160" s="445"/>
    </row>
    <row r="161" spans="1:77" ht="15">
      <c r="A161" s="370" t="s">
        <v>1269</v>
      </c>
      <c r="B161" s="415" t="s">
        <v>296</v>
      </c>
      <c r="C161" s="416" t="s">
        <v>1682</v>
      </c>
      <c r="D161" s="444">
        <v>0</v>
      </c>
      <c r="E161" s="415" t="s">
        <v>1716</v>
      </c>
      <c r="F161" s="444">
        <v>3</v>
      </c>
      <c r="G161" s="415" t="s">
        <v>1661</v>
      </c>
      <c r="H161" s="444">
        <v>7</v>
      </c>
      <c r="I161" s="417" t="s">
        <v>1768</v>
      </c>
      <c r="J161" s="444">
        <v>1.3</v>
      </c>
      <c r="K161" s="444">
        <v>48</v>
      </c>
      <c r="L161" s="444">
        <v>0</v>
      </c>
      <c r="M161" s="444">
        <v>0</v>
      </c>
      <c r="N161" s="444">
        <v>3</v>
      </c>
      <c r="O161" s="444">
        <v>0</v>
      </c>
      <c r="P161" s="444">
        <v>0</v>
      </c>
      <c r="Q161" s="444">
        <v>0</v>
      </c>
      <c r="R161" s="444">
        <v>0</v>
      </c>
      <c r="S161" s="444">
        <v>0</v>
      </c>
      <c r="T161" s="444">
        <v>0</v>
      </c>
      <c r="U161" s="444">
        <v>6</v>
      </c>
      <c r="V161" s="444">
        <v>0</v>
      </c>
      <c r="W161" s="444">
        <v>11</v>
      </c>
      <c r="X161" s="418"/>
      <c r="Y161" s="445">
        <v>20</v>
      </c>
      <c r="Z161" s="420"/>
      <c r="AA161" s="421">
        <v>81.790000000000006</v>
      </c>
      <c r="AB161" s="421">
        <v>29.978000000000002</v>
      </c>
      <c r="AC161" s="454">
        <v>2</v>
      </c>
      <c r="AE161" s="419" t="s">
        <v>2039</v>
      </c>
      <c r="AF161" s="454">
        <v>1</v>
      </c>
      <c r="AG161" s="429">
        <v>43101</v>
      </c>
      <c r="AJ161" s="430">
        <v>43174</v>
      </c>
      <c r="AL161" s="424" t="s">
        <v>1024</v>
      </c>
      <c r="AO161" s="445"/>
      <c r="AP161" s="454">
        <v>556660</v>
      </c>
      <c r="AQ161" s="431">
        <v>43174</v>
      </c>
      <c r="AT161" s="426"/>
      <c r="AU161" s="426"/>
      <c r="AV161" s="426"/>
      <c r="AY161" s="427" t="s">
        <v>1722</v>
      </c>
      <c r="AZ161" s="373"/>
      <c r="BB161" s="374" t="s">
        <v>1728</v>
      </c>
      <c r="BC161" s="445"/>
      <c r="BE161" s="448">
        <v>0</v>
      </c>
      <c r="BF161" s="449">
        <v>0</v>
      </c>
      <c r="BG161" s="428" t="s">
        <v>1764</v>
      </c>
      <c r="BH161" s="445"/>
      <c r="BI161" s="491"/>
      <c r="BJ161" s="491">
        <v>2</v>
      </c>
      <c r="BK161" s="445" t="s">
        <v>2825</v>
      </c>
      <c r="BL161" s="419" t="s">
        <v>2826</v>
      </c>
      <c r="BM161" s="445"/>
      <c r="BN161" s="419" t="s">
        <v>1765</v>
      </c>
      <c r="BO161" s="419" t="s">
        <v>1765</v>
      </c>
      <c r="BP161" s="419" t="s">
        <v>1765</v>
      </c>
      <c r="BQ161" s="419" t="s">
        <v>1269</v>
      </c>
      <c r="BR161" s="419"/>
      <c r="BS161" s="419"/>
      <c r="BT161" s="445"/>
      <c r="BU161" s="445"/>
      <c r="BV161" s="445"/>
      <c r="BW161" s="445" t="s">
        <v>2019</v>
      </c>
      <c r="BX161" s="445"/>
      <c r="BY161" s="445"/>
    </row>
    <row r="162" spans="1:77" ht="15">
      <c r="A162" s="370" t="s">
        <v>1269</v>
      </c>
      <c r="B162" s="415" t="s">
        <v>296</v>
      </c>
      <c r="C162" s="416" t="s">
        <v>1682</v>
      </c>
      <c r="D162" s="444">
        <v>0</v>
      </c>
      <c r="E162" s="415" t="s">
        <v>1716</v>
      </c>
      <c r="F162" s="444">
        <v>3</v>
      </c>
      <c r="G162" s="415" t="s">
        <v>1661</v>
      </c>
      <c r="H162" s="444">
        <v>89</v>
      </c>
      <c r="I162" s="417" t="s">
        <v>1683</v>
      </c>
      <c r="J162" s="444">
        <v>12.8</v>
      </c>
      <c r="K162" s="444">
        <v>408</v>
      </c>
      <c r="L162" s="444">
        <v>0</v>
      </c>
      <c r="M162" s="444">
        <v>0</v>
      </c>
      <c r="N162" s="444">
        <v>17</v>
      </c>
      <c r="O162" s="444">
        <v>0</v>
      </c>
      <c r="P162" s="444">
        <v>0</v>
      </c>
      <c r="Q162" s="444">
        <v>0</v>
      </c>
      <c r="R162" s="444">
        <v>0</v>
      </c>
      <c r="S162" s="444">
        <v>0</v>
      </c>
      <c r="T162" s="444">
        <v>0</v>
      </c>
      <c r="U162" s="444">
        <v>55</v>
      </c>
      <c r="V162" s="444">
        <v>6</v>
      </c>
      <c r="W162" s="444">
        <v>188</v>
      </c>
      <c r="X162" s="418"/>
      <c r="Y162" s="445">
        <v>266</v>
      </c>
      <c r="Z162" s="420"/>
      <c r="AA162" s="421">
        <v>76.456999999999994</v>
      </c>
      <c r="AB162" s="421">
        <v>29.978000000000002</v>
      </c>
      <c r="AC162" s="454">
        <v>19</v>
      </c>
      <c r="AE162" s="419" t="s">
        <v>2040</v>
      </c>
      <c r="AF162" s="454">
        <v>1</v>
      </c>
      <c r="AG162" s="429">
        <v>43101</v>
      </c>
      <c r="AJ162" s="430">
        <v>43174</v>
      </c>
      <c r="AL162" s="424" t="s">
        <v>915</v>
      </c>
      <c r="AO162" s="445"/>
      <c r="AP162" s="454">
        <v>556660</v>
      </c>
      <c r="AQ162" s="431">
        <v>43174</v>
      </c>
      <c r="AT162" s="426"/>
      <c r="AU162" s="426"/>
      <c r="AV162" s="426"/>
      <c r="AY162" s="427" t="s">
        <v>1722</v>
      </c>
      <c r="AZ162" s="373"/>
      <c r="BB162" s="374" t="s">
        <v>1728</v>
      </c>
      <c r="BC162" s="445"/>
      <c r="BE162" s="448">
        <v>0</v>
      </c>
      <c r="BF162" s="449">
        <v>0</v>
      </c>
      <c r="BG162" s="428" t="s">
        <v>1764</v>
      </c>
      <c r="BH162" s="445"/>
      <c r="BI162" s="491"/>
      <c r="BJ162" s="491">
        <v>3</v>
      </c>
      <c r="BK162" s="445" t="s">
        <v>311</v>
      </c>
      <c r="BL162" s="419" t="s">
        <v>2827</v>
      </c>
      <c r="BM162" s="445"/>
      <c r="BN162" s="419" t="s">
        <v>1765</v>
      </c>
      <c r="BO162" s="419" t="s">
        <v>1765</v>
      </c>
      <c r="BP162" s="419" t="s">
        <v>1765</v>
      </c>
      <c r="BQ162" s="419" t="s">
        <v>1269</v>
      </c>
      <c r="BR162" s="419"/>
      <c r="BS162" s="419"/>
      <c r="BT162" s="445"/>
      <c r="BU162" s="445"/>
      <c r="BV162" s="445"/>
      <c r="BW162" s="445" t="s">
        <v>2019</v>
      </c>
      <c r="BX162" s="445"/>
      <c r="BY162" s="445"/>
    </row>
    <row r="163" spans="1:77" ht="15">
      <c r="A163" s="370" t="s">
        <v>1269</v>
      </c>
      <c r="B163" s="415" t="s">
        <v>296</v>
      </c>
      <c r="C163" s="416" t="s">
        <v>1682</v>
      </c>
      <c r="D163" s="444">
        <v>0</v>
      </c>
      <c r="E163" s="415" t="s">
        <v>1716</v>
      </c>
      <c r="F163" s="444">
        <v>3</v>
      </c>
      <c r="G163" s="415" t="s">
        <v>1661</v>
      </c>
      <c r="H163" s="444">
        <v>19</v>
      </c>
      <c r="I163" s="417" t="s">
        <v>1683</v>
      </c>
      <c r="J163" s="444">
        <v>20</v>
      </c>
      <c r="K163" s="444">
        <v>778</v>
      </c>
      <c r="L163" s="444">
        <v>0</v>
      </c>
      <c r="M163" s="444">
        <v>0</v>
      </c>
      <c r="N163" s="444">
        <v>24</v>
      </c>
      <c r="O163" s="444">
        <v>0</v>
      </c>
      <c r="P163" s="444">
        <v>0</v>
      </c>
      <c r="Q163" s="444">
        <v>0</v>
      </c>
      <c r="R163" s="444">
        <v>0</v>
      </c>
      <c r="S163" s="444">
        <v>0</v>
      </c>
      <c r="T163" s="444">
        <v>0</v>
      </c>
      <c r="U163" s="444">
        <v>131</v>
      </c>
      <c r="V163" s="444">
        <v>1</v>
      </c>
      <c r="W163" s="444">
        <v>67</v>
      </c>
      <c r="X163" s="418"/>
      <c r="Y163" s="445">
        <v>223</v>
      </c>
      <c r="Z163" s="420"/>
      <c r="AA163" s="421">
        <v>106.694</v>
      </c>
      <c r="AB163" s="421">
        <v>29.978000000000002</v>
      </c>
      <c r="AC163" s="454">
        <v>29</v>
      </c>
      <c r="AE163" s="419" t="s">
        <v>2041</v>
      </c>
      <c r="AF163" s="454">
        <v>1</v>
      </c>
      <c r="AG163" s="429">
        <v>43101</v>
      </c>
      <c r="AJ163" s="430">
        <v>43174</v>
      </c>
      <c r="AL163" s="424" t="s">
        <v>933</v>
      </c>
      <c r="AO163" s="445"/>
      <c r="AP163" s="454">
        <v>556660</v>
      </c>
      <c r="AQ163" s="431">
        <v>43174</v>
      </c>
      <c r="AT163" s="426"/>
      <c r="AU163" s="426"/>
      <c r="AV163" s="426"/>
      <c r="AY163" s="427" t="s">
        <v>1722</v>
      </c>
      <c r="AZ163" s="373"/>
      <c r="BB163" s="374" t="s">
        <v>1728</v>
      </c>
      <c r="BC163" s="445"/>
      <c r="BE163" s="448">
        <v>0</v>
      </c>
      <c r="BF163" s="449">
        <v>0</v>
      </c>
      <c r="BG163" s="428" t="s">
        <v>1764</v>
      </c>
      <c r="BH163" s="445"/>
      <c r="BI163" s="491"/>
      <c r="BJ163" s="491">
        <v>4</v>
      </c>
      <c r="BK163" s="445" t="s">
        <v>2828</v>
      </c>
      <c r="BL163" s="419" t="s">
        <v>2829</v>
      </c>
      <c r="BM163" s="445"/>
      <c r="BN163" s="419" t="s">
        <v>1765</v>
      </c>
      <c r="BO163" s="419" t="s">
        <v>1765</v>
      </c>
      <c r="BP163" s="419" t="s">
        <v>1765</v>
      </c>
      <c r="BQ163" s="419" t="s">
        <v>1269</v>
      </c>
      <c r="BR163" s="419"/>
      <c r="BS163" s="419"/>
      <c r="BT163" s="445"/>
      <c r="BU163" s="445"/>
      <c r="BV163" s="445"/>
      <c r="BW163" s="445" t="s">
        <v>2019</v>
      </c>
      <c r="BX163" s="445"/>
      <c r="BY163" s="445"/>
    </row>
    <row r="164" spans="1:77" ht="15">
      <c r="A164" s="370" t="s">
        <v>1269</v>
      </c>
      <c r="B164" s="415" t="s">
        <v>296</v>
      </c>
      <c r="C164" s="416" t="s">
        <v>1682</v>
      </c>
      <c r="D164" s="444">
        <v>0</v>
      </c>
      <c r="E164" s="415" t="s">
        <v>1716</v>
      </c>
      <c r="F164" s="444">
        <v>3</v>
      </c>
      <c r="G164" s="415" t="s">
        <v>1661</v>
      </c>
      <c r="H164" s="444">
        <v>98</v>
      </c>
      <c r="I164" s="417" t="s">
        <v>1683</v>
      </c>
      <c r="J164" s="444">
        <v>2.2000000000000002</v>
      </c>
      <c r="K164" s="444">
        <v>107</v>
      </c>
      <c r="L164" s="444">
        <v>0</v>
      </c>
      <c r="M164" s="444">
        <v>7</v>
      </c>
      <c r="N164" s="444">
        <v>0</v>
      </c>
      <c r="O164" s="444">
        <v>0</v>
      </c>
      <c r="P164" s="444">
        <v>0</v>
      </c>
      <c r="Q164" s="444">
        <v>0</v>
      </c>
      <c r="R164" s="444">
        <v>0</v>
      </c>
      <c r="S164" s="444">
        <v>0</v>
      </c>
      <c r="T164" s="444">
        <v>0</v>
      </c>
      <c r="U164" s="444">
        <v>11</v>
      </c>
      <c r="V164" s="444">
        <v>8</v>
      </c>
      <c r="W164" s="444">
        <v>1</v>
      </c>
      <c r="X164" s="418"/>
      <c r="Y164" s="445">
        <v>27</v>
      </c>
      <c r="Z164" s="420"/>
      <c r="AA164" s="421">
        <v>98.231999999999999</v>
      </c>
      <c r="AB164" s="421">
        <v>29.978000000000002</v>
      </c>
      <c r="AC164" s="454">
        <v>3</v>
      </c>
      <c r="AE164" s="419" t="s">
        <v>2042</v>
      </c>
      <c r="AF164" s="454">
        <v>1</v>
      </c>
      <c r="AG164" s="429">
        <v>43101</v>
      </c>
      <c r="AJ164" s="430">
        <v>43174</v>
      </c>
      <c r="AL164" s="424" t="s">
        <v>1027</v>
      </c>
      <c r="AO164" s="445"/>
      <c r="AP164" s="454">
        <v>556660</v>
      </c>
      <c r="AQ164" s="431">
        <v>43174</v>
      </c>
      <c r="AT164" s="426"/>
      <c r="AU164" s="426"/>
      <c r="AV164" s="426"/>
      <c r="AY164" s="427" t="s">
        <v>1722</v>
      </c>
      <c r="AZ164" s="373"/>
      <c r="BB164" s="374" t="s">
        <v>1728</v>
      </c>
      <c r="BC164" s="445"/>
      <c r="BE164" s="448">
        <v>0</v>
      </c>
      <c r="BF164" s="449">
        <v>0</v>
      </c>
      <c r="BG164" s="428" t="s">
        <v>1764</v>
      </c>
      <c r="BH164" s="445"/>
      <c r="BI164" s="491"/>
      <c r="BJ164" s="491">
        <v>5</v>
      </c>
      <c r="BK164" s="445" t="s">
        <v>2830</v>
      </c>
      <c r="BL164" s="419" t="s">
        <v>2831</v>
      </c>
      <c r="BM164" s="445"/>
      <c r="BN164" s="419" t="s">
        <v>1765</v>
      </c>
      <c r="BO164" s="419" t="s">
        <v>1765</v>
      </c>
      <c r="BP164" s="419" t="s">
        <v>1765</v>
      </c>
      <c r="BQ164" s="419" t="s">
        <v>1269</v>
      </c>
      <c r="BR164" s="419"/>
      <c r="BS164" s="419"/>
      <c r="BT164" s="445"/>
      <c r="BU164" s="445"/>
      <c r="BV164" s="445"/>
      <c r="BW164" s="445" t="s">
        <v>2019</v>
      </c>
      <c r="BX164" s="445"/>
      <c r="BY164" s="445"/>
    </row>
    <row r="165" spans="1:77" ht="15">
      <c r="A165" s="370" t="s">
        <v>1269</v>
      </c>
      <c r="B165" s="415" t="s">
        <v>296</v>
      </c>
      <c r="C165" s="416" t="s">
        <v>1682</v>
      </c>
      <c r="D165" s="444">
        <v>0</v>
      </c>
      <c r="E165" s="415" t="s">
        <v>1716</v>
      </c>
      <c r="F165" s="444">
        <v>3</v>
      </c>
      <c r="G165" s="415" t="s">
        <v>1661</v>
      </c>
      <c r="H165" s="444">
        <v>97</v>
      </c>
      <c r="I165" s="417" t="s">
        <v>1425</v>
      </c>
      <c r="J165" s="444">
        <v>0.1</v>
      </c>
      <c r="K165" s="444">
        <v>9</v>
      </c>
      <c r="L165" s="444">
        <v>0</v>
      </c>
      <c r="M165" s="444">
        <v>2</v>
      </c>
      <c r="N165" s="444">
        <v>0</v>
      </c>
      <c r="O165" s="444">
        <v>0</v>
      </c>
      <c r="P165" s="444">
        <v>0</v>
      </c>
      <c r="Q165" s="444">
        <v>0</v>
      </c>
      <c r="R165" s="444">
        <v>0</v>
      </c>
      <c r="S165" s="444">
        <v>0</v>
      </c>
      <c r="T165" s="444">
        <v>0</v>
      </c>
      <c r="U165" s="444">
        <v>0</v>
      </c>
      <c r="V165" s="444">
        <v>1</v>
      </c>
      <c r="W165" s="444">
        <v>0</v>
      </c>
      <c r="X165" s="418"/>
      <c r="Y165" s="445">
        <v>3</v>
      </c>
      <c r="Z165" s="420"/>
      <c r="AA165" s="421">
        <v>54.893999999999998</v>
      </c>
      <c r="AB165" s="421">
        <v>29.978000000000002</v>
      </c>
      <c r="AC165" s="454">
        <v>3</v>
      </c>
      <c r="AE165" s="419" t="s">
        <v>2043</v>
      </c>
      <c r="AF165" s="454">
        <v>1</v>
      </c>
      <c r="AG165" s="429">
        <v>43101</v>
      </c>
      <c r="AJ165" s="430">
        <v>43174</v>
      </c>
      <c r="AL165" s="424" t="s">
        <v>1027</v>
      </c>
      <c r="AO165" s="445"/>
      <c r="AP165" s="454">
        <v>556660</v>
      </c>
      <c r="AQ165" s="431">
        <v>43174</v>
      </c>
      <c r="AT165" s="426"/>
      <c r="AU165" s="426"/>
      <c r="AV165" s="426"/>
      <c r="AY165" s="427" t="s">
        <v>1722</v>
      </c>
      <c r="AZ165" s="373"/>
      <c r="BB165" s="374" t="s">
        <v>1728</v>
      </c>
      <c r="BC165" s="445"/>
      <c r="BE165" s="448">
        <v>0</v>
      </c>
      <c r="BF165" s="449">
        <v>0</v>
      </c>
      <c r="BG165" s="428" t="s">
        <v>1764</v>
      </c>
      <c r="BH165" s="445"/>
      <c r="BI165" s="491"/>
      <c r="BJ165" s="491">
        <v>6</v>
      </c>
      <c r="BK165" s="445" t="s">
        <v>2832</v>
      </c>
      <c r="BL165" s="419" t="s">
        <v>2833</v>
      </c>
      <c r="BM165" s="445"/>
      <c r="BN165" s="419" t="s">
        <v>1765</v>
      </c>
      <c r="BO165" s="419" t="s">
        <v>1765</v>
      </c>
      <c r="BP165" s="419" t="s">
        <v>1765</v>
      </c>
      <c r="BQ165" s="419" t="s">
        <v>1269</v>
      </c>
      <c r="BR165" s="419"/>
      <c r="BS165" s="419"/>
      <c r="BT165" s="445"/>
      <c r="BU165" s="445"/>
      <c r="BV165" s="445"/>
      <c r="BW165" s="445" t="s">
        <v>2019</v>
      </c>
      <c r="BX165" s="445"/>
      <c r="BY165" s="445"/>
    </row>
    <row r="166" spans="1:77" ht="15">
      <c r="A166" s="370" t="s">
        <v>1269</v>
      </c>
      <c r="B166" s="415" t="s">
        <v>296</v>
      </c>
      <c r="C166" s="416" t="s">
        <v>1682</v>
      </c>
      <c r="D166" s="444">
        <v>0</v>
      </c>
      <c r="E166" s="415" t="s">
        <v>1716</v>
      </c>
      <c r="F166" s="444">
        <v>3</v>
      </c>
      <c r="G166" s="415" t="s">
        <v>1661</v>
      </c>
      <c r="H166" s="444">
        <v>99</v>
      </c>
      <c r="I166" s="417" t="s">
        <v>1426</v>
      </c>
      <c r="J166" s="444">
        <v>4.4000000000000004</v>
      </c>
      <c r="K166" s="444">
        <v>111</v>
      </c>
      <c r="L166" s="444">
        <v>0</v>
      </c>
      <c r="M166" s="444">
        <v>0</v>
      </c>
      <c r="N166" s="444">
        <v>11</v>
      </c>
      <c r="O166" s="444">
        <v>0</v>
      </c>
      <c r="P166" s="444">
        <v>0</v>
      </c>
      <c r="Q166" s="444">
        <v>0</v>
      </c>
      <c r="R166" s="444">
        <v>0</v>
      </c>
      <c r="S166" s="444">
        <v>0</v>
      </c>
      <c r="T166" s="444">
        <v>0</v>
      </c>
      <c r="U166" s="444">
        <v>10</v>
      </c>
      <c r="V166" s="444">
        <v>7</v>
      </c>
      <c r="W166" s="444">
        <v>31</v>
      </c>
      <c r="X166" s="418"/>
      <c r="Y166" s="445">
        <v>59</v>
      </c>
      <c r="Z166" s="420"/>
      <c r="AA166" s="421">
        <v>79.692999999999998</v>
      </c>
      <c r="AB166" s="421">
        <v>29.978000000000002</v>
      </c>
      <c r="AC166" s="454">
        <v>5</v>
      </c>
      <c r="AE166" s="419" t="s">
        <v>2044</v>
      </c>
      <c r="AF166" s="454">
        <v>1</v>
      </c>
      <c r="AG166" s="429">
        <v>43101</v>
      </c>
      <c r="AJ166" s="430">
        <v>43174</v>
      </c>
      <c r="AL166" s="424" t="s">
        <v>1027</v>
      </c>
      <c r="AO166" s="445"/>
      <c r="AP166" s="454">
        <v>556660</v>
      </c>
      <c r="AQ166" s="431">
        <v>43174</v>
      </c>
      <c r="AT166" s="426"/>
      <c r="AU166" s="426"/>
      <c r="AV166" s="426"/>
      <c r="AY166" s="427" t="s">
        <v>1722</v>
      </c>
      <c r="AZ166" s="373"/>
      <c r="BB166" s="374" t="s">
        <v>1728</v>
      </c>
      <c r="BC166" s="445"/>
      <c r="BE166" s="448">
        <v>0</v>
      </c>
      <c r="BF166" s="449">
        <v>0</v>
      </c>
      <c r="BG166" s="428" t="s">
        <v>1764</v>
      </c>
      <c r="BH166" s="445"/>
      <c r="BI166" s="491"/>
      <c r="BJ166" s="491">
        <v>7</v>
      </c>
      <c r="BK166" s="445" t="s">
        <v>2834</v>
      </c>
      <c r="BL166" s="419" t="s">
        <v>2835</v>
      </c>
      <c r="BM166" s="445"/>
      <c r="BN166" s="419" t="s">
        <v>1765</v>
      </c>
      <c r="BO166" s="419" t="s">
        <v>1765</v>
      </c>
      <c r="BP166" s="419" t="s">
        <v>1765</v>
      </c>
      <c r="BQ166" s="419" t="s">
        <v>1269</v>
      </c>
      <c r="BR166" s="419"/>
      <c r="BS166" s="419"/>
      <c r="BT166" s="445"/>
      <c r="BU166" s="445"/>
      <c r="BV166" s="445"/>
      <c r="BW166" s="445" t="s">
        <v>2019</v>
      </c>
      <c r="BX166" s="445"/>
      <c r="BY166" s="445"/>
    </row>
    <row r="167" spans="1:77" ht="15">
      <c r="A167" s="370" t="s">
        <v>1269</v>
      </c>
      <c r="B167" s="415" t="s">
        <v>296</v>
      </c>
      <c r="C167" s="416" t="s">
        <v>1682</v>
      </c>
      <c r="D167" s="444">
        <v>0</v>
      </c>
      <c r="E167" s="415" t="s">
        <v>1716</v>
      </c>
      <c r="F167" s="444">
        <v>3</v>
      </c>
      <c r="G167" s="415" t="s">
        <v>1661</v>
      </c>
      <c r="H167" s="444">
        <v>99</v>
      </c>
      <c r="I167" s="417" t="s">
        <v>1435</v>
      </c>
      <c r="J167" s="444">
        <v>4.8</v>
      </c>
      <c r="K167" s="444">
        <v>141</v>
      </c>
      <c r="L167" s="444">
        <v>0</v>
      </c>
      <c r="M167" s="444">
        <v>0</v>
      </c>
      <c r="N167" s="444">
        <v>16</v>
      </c>
      <c r="O167" s="444">
        <v>0</v>
      </c>
      <c r="P167" s="444">
        <v>0</v>
      </c>
      <c r="Q167" s="444">
        <v>0</v>
      </c>
      <c r="R167" s="444">
        <v>0</v>
      </c>
      <c r="S167" s="444">
        <v>0</v>
      </c>
      <c r="T167" s="444">
        <v>0</v>
      </c>
      <c r="U167" s="444">
        <v>25</v>
      </c>
      <c r="V167" s="444">
        <v>6</v>
      </c>
      <c r="W167" s="444">
        <v>32</v>
      </c>
      <c r="X167" s="418"/>
      <c r="Y167" s="445">
        <v>79</v>
      </c>
      <c r="Z167" s="420"/>
      <c r="AA167" s="421">
        <v>75.679000000000002</v>
      </c>
      <c r="AB167" s="421">
        <v>29.978000000000002</v>
      </c>
      <c r="AC167" s="454">
        <v>6</v>
      </c>
      <c r="AE167" s="419" t="s">
        <v>2045</v>
      </c>
      <c r="AF167" s="454">
        <v>1</v>
      </c>
      <c r="AG167" s="429">
        <v>43101</v>
      </c>
      <c r="AJ167" s="430">
        <v>43174</v>
      </c>
      <c r="AL167" s="424" t="s">
        <v>1027</v>
      </c>
      <c r="AO167" s="445"/>
      <c r="AP167" s="454">
        <v>556660</v>
      </c>
      <c r="AQ167" s="431">
        <v>43174</v>
      </c>
      <c r="AT167" s="426"/>
      <c r="AU167" s="426"/>
      <c r="AV167" s="426"/>
      <c r="AY167" s="427" t="s">
        <v>1722</v>
      </c>
      <c r="AZ167" s="373"/>
      <c r="BB167" s="374" t="s">
        <v>1728</v>
      </c>
      <c r="BC167" s="445"/>
      <c r="BE167" s="448">
        <v>0</v>
      </c>
      <c r="BF167" s="449">
        <v>0</v>
      </c>
      <c r="BG167" s="428" t="s">
        <v>1764</v>
      </c>
      <c r="BH167" s="445"/>
      <c r="BI167" s="491"/>
      <c r="BJ167" s="491">
        <v>8</v>
      </c>
      <c r="BK167" s="445" t="s">
        <v>2836</v>
      </c>
      <c r="BL167" s="419" t="s">
        <v>2837</v>
      </c>
      <c r="BM167" s="445"/>
      <c r="BN167" s="419" t="s">
        <v>1765</v>
      </c>
      <c r="BO167" s="419" t="s">
        <v>1765</v>
      </c>
      <c r="BP167" s="419" t="s">
        <v>1765</v>
      </c>
      <c r="BQ167" s="419" t="s">
        <v>1269</v>
      </c>
      <c r="BR167" s="419"/>
      <c r="BS167" s="419"/>
      <c r="BT167" s="445"/>
      <c r="BU167" s="445"/>
      <c r="BV167" s="445"/>
      <c r="BW167" s="445" t="s">
        <v>2019</v>
      </c>
      <c r="BX167" s="445"/>
      <c r="BY167" s="445"/>
    </row>
    <row r="168" spans="1:77" ht="15">
      <c r="A168" s="370" t="s">
        <v>1269</v>
      </c>
      <c r="B168" s="415" t="s">
        <v>296</v>
      </c>
      <c r="C168" s="416" t="s">
        <v>1682</v>
      </c>
      <c r="D168" s="444">
        <v>0</v>
      </c>
      <c r="E168" s="415" t="s">
        <v>1716</v>
      </c>
      <c r="F168" s="444">
        <v>3</v>
      </c>
      <c r="G168" s="415" t="s">
        <v>1661</v>
      </c>
      <c r="H168" s="444">
        <v>167</v>
      </c>
      <c r="I168" s="417" t="s">
        <v>1660</v>
      </c>
      <c r="J168" s="444">
        <v>1.2</v>
      </c>
      <c r="K168" s="444">
        <v>54</v>
      </c>
      <c r="L168" s="444">
        <v>0</v>
      </c>
      <c r="M168" s="444">
        <v>0</v>
      </c>
      <c r="N168" s="444">
        <v>0</v>
      </c>
      <c r="O168" s="444">
        <v>0</v>
      </c>
      <c r="P168" s="444">
        <v>0</v>
      </c>
      <c r="Q168" s="444">
        <v>0</v>
      </c>
      <c r="R168" s="444">
        <v>0</v>
      </c>
      <c r="S168" s="444">
        <v>0</v>
      </c>
      <c r="T168" s="444">
        <v>0</v>
      </c>
      <c r="U168" s="444">
        <v>0</v>
      </c>
      <c r="V168" s="444">
        <v>0</v>
      </c>
      <c r="W168" s="444">
        <v>35</v>
      </c>
      <c r="X168" s="418"/>
      <c r="Y168" s="445">
        <v>35</v>
      </c>
      <c r="Z168" s="420"/>
      <c r="AA168" s="421">
        <v>73.662000000000006</v>
      </c>
      <c r="AB168" s="421">
        <v>29.978000000000002</v>
      </c>
      <c r="AC168" s="454">
        <v>5</v>
      </c>
      <c r="AE168" s="419" t="s">
        <v>2046</v>
      </c>
      <c r="AF168" s="454">
        <v>1</v>
      </c>
      <c r="AG168" s="429">
        <v>43101</v>
      </c>
      <c r="AJ168" s="430">
        <v>43174</v>
      </c>
      <c r="AL168" s="424" t="s">
        <v>1024</v>
      </c>
      <c r="AO168" s="445"/>
      <c r="AP168" s="454">
        <v>556660</v>
      </c>
      <c r="AQ168" s="431">
        <v>43174</v>
      </c>
      <c r="AT168" s="426"/>
      <c r="AU168" s="426"/>
      <c r="AV168" s="426"/>
      <c r="AY168" s="427" t="s">
        <v>1722</v>
      </c>
      <c r="AZ168" s="373"/>
      <c r="BB168" s="374" t="s">
        <v>1728</v>
      </c>
      <c r="BC168" s="445"/>
      <c r="BE168" s="448">
        <v>0</v>
      </c>
      <c r="BF168" s="449">
        <v>0</v>
      </c>
      <c r="BG168" s="428" t="s">
        <v>1764</v>
      </c>
      <c r="BH168" s="445"/>
      <c r="BI168" s="491"/>
      <c r="BJ168" s="491">
        <v>9</v>
      </c>
      <c r="BK168" s="445" t="s">
        <v>2838</v>
      </c>
      <c r="BL168" s="419" t="s">
        <v>2839</v>
      </c>
      <c r="BM168" s="445"/>
      <c r="BN168" s="419" t="s">
        <v>1765</v>
      </c>
      <c r="BO168" s="419" t="s">
        <v>1765</v>
      </c>
      <c r="BP168" s="419" t="s">
        <v>1765</v>
      </c>
      <c r="BQ168" s="419" t="s">
        <v>1269</v>
      </c>
      <c r="BR168" s="419"/>
      <c r="BS168" s="419"/>
      <c r="BT168" s="445"/>
      <c r="BU168" s="445"/>
      <c r="BV168" s="445"/>
      <c r="BW168" s="445" t="s">
        <v>2019</v>
      </c>
      <c r="BX168" s="445"/>
      <c r="BY168" s="445"/>
    </row>
    <row r="169" spans="1:77" ht="15">
      <c r="A169" s="370" t="s">
        <v>1269</v>
      </c>
      <c r="B169" s="415" t="s">
        <v>296</v>
      </c>
      <c r="C169" s="416" t="s">
        <v>1682</v>
      </c>
      <c r="D169" s="444">
        <v>0</v>
      </c>
      <c r="E169" s="415" t="s">
        <v>1716</v>
      </c>
      <c r="F169" s="444">
        <v>3</v>
      </c>
      <c r="G169" s="415" t="s">
        <v>1661</v>
      </c>
      <c r="H169" s="444">
        <v>7</v>
      </c>
      <c r="I169" s="417" t="s">
        <v>1429</v>
      </c>
      <c r="J169" s="444">
        <v>0.1</v>
      </c>
      <c r="K169" s="444">
        <v>4</v>
      </c>
      <c r="L169" s="444">
        <v>0</v>
      </c>
      <c r="M169" s="444">
        <v>0</v>
      </c>
      <c r="N169" s="444">
        <v>0</v>
      </c>
      <c r="O169" s="444">
        <v>0</v>
      </c>
      <c r="P169" s="444">
        <v>0</v>
      </c>
      <c r="Q169" s="444">
        <v>0</v>
      </c>
      <c r="R169" s="444">
        <v>0</v>
      </c>
      <c r="S169" s="444">
        <v>0</v>
      </c>
      <c r="T169" s="444">
        <v>0</v>
      </c>
      <c r="U169" s="444">
        <v>0</v>
      </c>
      <c r="V169" s="444">
        <v>0</v>
      </c>
      <c r="W169" s="444">
        <v>5</v>
      </c>
      <c r="X169" s="418"/>
      <c r="Y169" s="445">
        <v>5</v>
      </c>
      <c r="Z169" s="420"/>
      <c r="AA169" s="421">
        <v>67.745999999999995</v>
      </c>
      <c r="AB169" s="421">
        <v>29.978000000000002</v>
      </c>
      <c r="AC169" s="454">
        <v>1</v>
      </c>
      <c r="AE169" s="419" t="s">
        <v>2047</v>
      </c>
      <c r="AF169" s="454">
        <v>1</v>
      </c>
      <c r="AG169" s="429">
        <v>43101</v>
      </c>
      <c r="AJ169" s="430">
        <v>43174</v>
      </c>
      <c r="AL169" s="424" t="s">
        <v>1024</v>
      </c>
      <c r="AO169" s="445"/>
      <c r="AP169" s="454">
        <v>556660</v>
      </c>
      <c r="AQ169" s="431">
        <v>43174</v>
      </c>
      <c r="AT169" s="426"/>
      <c r="AU169" s="426"/>
      <c r="AV169" s="426"/>
      <c r="AY169" s="427" t="s">
        <v>1722</v>
      </c>
      <c r="AZ169" s="373"/>
      <c r="BB169" s="374" t="s">
        <v>1728</v>
      </c>
      <c r="BC169" s="445"/>
      <c r="BE169" s="448">
        <v>0</v>
      </c>
      <c r="BF169" s="449">
        <v>0</v>
      </c>
      <c r="BG169" s="428" t="s">
        <v>1764</v>
      </c>
      <c r="BH169" s="445"/>
      <c r="BI169" s="491"/>
      <c r="BJ169" s="491">
        <v>10</v>
      </c>
      <c r="BK169" s="445" t="s">
        <v>2840</v>
      </c>
      <c r="BL169" s="419" t="s">
        <v>2841</v>
      </c>
      <c r="BM169" s="445"/>
      <c r="BN169" s="419" t="s">
        <v>1765</v>
      </c>
      <c r="BO169" s="419" t="s">
        <v>1765</v>
      </c>
      <c r="BP169" s="419" t="s">
        <v>1765</v>
      </c>
      <c r="BQ169" s="419" t="s">
        <v>1269</v>
      </c>
      <c r="BR169" s="419"/>
      <c r="BS169" s="419"/>
      <c r="BT169" s="445"/>
      <c r="BU169" s="445"/>
      <c r="BV169" s="445"/>
      <c r="BW169" s="445" t="s">
        <v>2019</v>
      </c>
      <c r="BX169" s="445"/>
      <c r="BY169" s="445"/>
    </row>
    <row r="170" spans="1:77" ht="15">
      <c r="A170" s="370" t="s">
        <v>1269</v>
      </c>
      <c r="B170" s="415" t="s">
        <v>296</v>
      </c>
      <c r="C170" s="416" t="s">
        <v>1682</v>
      </c>
      <c r="D170" s="444">
        <v>0</v>
      </c>
      <c r="E170" s="415" t="s">
        <v>1716</v>
      </c>
      <c r="F170" s="444">
        <v>3</v>
      </c>
      <c r="G170" s="415" t="s">
        <v>1661</v>
      </c>
      <c r="H170" s="444">
        <v>7</v>
      </c>
      <c r="I170" s="417" t="s">
        <v>1436</v>
      </c>
      <c r="J170" s="444">
        <v>0.1</v>
      </c>
      <c r="K170" s="444">
        <v>4</v>
      </c>
      <c r="L170" s="444">
        <v>0</v>
      </c>
      <c r="M170" s="444">
        <v>0</v>
      </c>
      <c r="N170" s="444">
        <v>0</v>
      </c>
      <c r="O170" s="444">
        <v>0</v>
      </c>
      <c r="P170" s="444">
        <v>0</v>
      </c>
      <c r="Q170" s="444">
        <v>0</v>
      </c>
      <c r="R170" s="444">
        <v>0</v>
      </c>
      <c r="S170" s="444">
        <v>0</v>
      </c>
      <c r="T170" s="444">
        <v>0</v>
      </c>
      <c r="U170" s="444">
        <v>0</v>
      </c>
      <c r="V170" s="444">
        <v>0</v>
      </c>
      <c r="W170" s="444">
        <v>5</v>
      </c>
      <c r="X170" s="418"/>
      <c r="Y170" s="445">
        <v>5</v>
      </c>
      <c r="Z170" s="420"/>
      <c r="AA170" s="421">
        <v>67.745999999999995</v>
      </c>
      <c r="AB170" s="421">
        <v>29.978000000000002</v>
      </c>
      <c r="AC170" s="454">
        <v>0</v>
      </c>
      <c r="AE170" s="419" t="s">
        <v>2048</v>
      </c>
      <c r="AF170" s="454">
        <v>1</v>
      </c>
      <c r="AG170" s="429">
        <v>43101</v>
      </c>
      <c r="AJ170" s="430">
        <v>43174</v>
      </c>
      <c r="AL170" s="424" t="s">
        <v>1024</v>
      </c>
      <c r="AO170" s="445"/>
      <c r="AP170" s="454">
        <v>556660</v>
      </c>
      <c r="AQ170" s="431">
        <v>43174</v>
      </c>
      <c r="AT170" s="426"/>
      <c r="AU170" s="426"/>
      <c r="AV170" s="426"/>
      <c r="AY170" s="427" t="s">
        <v>1722</v>
      </c>
      <c r="AZ170" s="373"/>
      <c r="BB170" s="374" t="s">
        <v>1728</v>
      </c>
      <c r="BC170" s="445"/>
      <c r="BE170" s="448">
        <v>0</v>
      </c>
      <c r="BF170" s="449">
        <v>0</v>
      </c>
      <c r="BG170" s="428" t="s">
        <v>1764</v>
      </c>
      <c r="BH170" s="445"/>
      <c r="BI170" s="491"/>
      <c r="BJ170" s="491">
        <v>11</v>
      </c>
      <c r="BK170" s="445" t="s">
        <v>2842</v>
      </c>
      <c r="BL170" s="419" t="s">
        <v>2843</v>
      </c>
      <c r="BM170" s="445"/>
      <c r="BN170" s="419" t="s">
        <v>1765</v>
      </c>
      <c r="BO170" s="419" t="s">
        <v>1765</v>
      </c>
      <c r="BP170" s="419" t="s">
        <v>1765</v>
      </c>
      <c r="BQ170" s="419" t="s">
        <v>1269</v>
      </c>
      <c r="BR170" s="419"/>
      <c r="BS170" s="419"/>
      <c r="BT170" s="445"/>
      <c r="BU170" s="445"/>
      <c r="BV170" s="445"/>
      <c r="BW170" s="445" t="s">
        <v>2019</v>
      </c>
      <c r="BX170" s="445"/>
      <c r="BY170" s="445"/>
    </row>
    <row r="171" spans="1:77" ht="15">
      <c r="A171" s="370" t="s">
        <v>1269</v>
      </c>
      <c r="B171" s="415" t="s">
        <v>296</v>
      </c>
      <c r="C171" s="416" t="s">
        <v>1682</v>
      </c>
      <c r="D171" s="444">
        <v>0</v>
      </c>
      <c r="E171" s="415" t="s">
        <v>1716</v>
      </c>
      <c r="F171" s="444">
        <v>3</v>
      </c>
      <c r="G171" s="415" t="s">
        <v>1661</v>
      </c>
      <c r="H171" s="444">
        <v>96</v>
      </c>
      <c r="I171" s="417" t="s">
        <v>1769</v>
      </c>
      <c r="J171" s="444">
        <v>4.4000000000000004</v>
      </c>
      <c r="K171" s="444">
        <v>214</v>
      </c>
      <c r="L171" s="444">
        <v>0</v>
      </c>
      <c r="M171" s="444">
        <v>0</v>
      </c>
      <c r="N171" s="444">
        <v>0</v>
      </c>
      <c r="O171" s="444">
        <v>0</v>
      </c>
      <c r="P171" s="444">
        <v>0</v>
      </c>
      <c r="Q171" s="444">
        <v>0</v>
      </c>
      <c r="R171" s="444">
        <v>0</v>
      </c>
      <c r="S171" s="444">
        <v>0</v>
      </c>
      <c r="T171" s="444">
        <v>0</v>
      </c>
      <c r="U171" s="444">
        <v>0</v>
      </c>
      <c r="V171" s="444">
        <v>0</v>
      </c>
      <c r="W171" s="444">
        <v>42</v>
      </c>
      <c r="X171" s="418"/>
      <c r="Y171" s="445">
        <v>42</v>
      </c>
      <c r="Z171" s="420"/>
      <c r="AA171" s="421">
        <v>124.866</v>
      </c>
      <c r="AB171" s="421">
        <v>29.978000000000002</v>
      </c>
      <c r="AC171" s="454">
        <v>4</v>
      </c>
      <c r="AE171" s="419" t="s">
        <v>2049</v>
      </c>
      <c r="AF171" s="454">
        <v>1</v>
      </c>
      <c r="AG171" s="429">
        <v>43101</v>
      </c>
      <c r="AJ171" s="430">
        <v>43174</v>
      </c>
      <c r="AL171" s="424" t="s">
        <v>1027</v>
      </c>
      <c r="AO171" s="445"/>
      <c r="AP171" s="454">
        <v>556660</v>
      </c>
      <c r="AQ171" s="431">
        <v>43174</v>
      </c>
      <c r="AT171" s="426"/>
      <c r="AU171" s="426"/>
      <c r="AV171" s="426"/>
      <c r="AY171" s="427" t="s">
        <v>1722</v>
      </c>
      <c r="AZ171" s="373"/>
      <c r="BB171" s="374" t="s">
        <v>1728</v>
      </c>
      <c r="BC171" s="445"/>
      <c r="BE171" s="448">
        <v>0</v>
      </c>
      <c r="BF171" s="449">
        <v>0</v>
      </c>
      <c r="BG171" s="428" t="s">
        <v>1764</v>
      </c>
      <c r="BH171" s="445"/>
      <c r="BI171" s="491"/>
      <c r="BJ171" s="491">
        <v>12</v>
      </c>
      <c r="BK171" s="445" t="s">
        <v>2844</v>
      </c>
      <c r="BL171" s="419" t="s">
        <v>2845</v>
      </c>
      <c r="BM171" s="445"/>
      <c r="BN171" s="419" t="s">
        <v>1765</v>
      </c>
      <c r="BO171" s="419" t="s">
        <v>1765</v>
      </c>
      <c r="BP171" s="419" t="s">
        <v>1765</v>
      </c>
      <c r="BQ171" s="419" t="s">
        <v>1269</v>
      </c>
      <c r="BR171" s="419"/>
      <c r="BS171" s="419"/>
      <c r="BT171" s="445"/>
      <c r="BU171" s="445"/>
      <c r="BV171" s="445"/>
      <c r="BW171" s="445" t="s">
        <v>2019</v>
      </c>
      <c r="BX171" s="445"/>
      <c r="BY171" s="445"/>
    </row>
    <row r="172" spans="1:77" ht="15">
      <c r="A172" s="370" t="s">
        <v>1269</v>
      </c>
      <c r="B172" s="415" t="s">
        <v>296</v>
      </c>
      <c r="C172" s="416" t="s">
        <v>1682</v>
      </c>
      <c r="D172" s="444">
        <v>0</v>
      </c>
      <c r="E172" s="415" t="s">
        <v>1716</v>
      </c>
      <c r="F172" s="444">
        <v>3</v>
      </c>
      <c r="G172" s="415" t="s">
        <v>1661</v>
      </c>
      <c r="H172" s="444">
        <v>161</v>
      </c>
      <c r="I172" s="417" t="s">
        <v>1770</v>
      </c>
      <c r="J172" s="444">
        <v>4.4000000000000004</v>
      </c>
      <c r="K172" s="444">
        <v>167</v>
      </c>
      <c r="L172" s="444">
        <v>0</v>
      </c>
      <c r="M172" s="444">
        <v>0</v>
      </c>
      <c r="N172" s="444">
        <v>0</v>
      </c>
      <c r="O172" s="444">
        <v>0</v>
      </c>
      <c r="P172" s="444">
        <v>0</v>
      </c>
      <c r="Q172" s="444">
        <v>0</v>
      </c>
      <c r="R172" s="444">
        <v>0</v>
      </c>
      <c r="S172" s="444">
        <v>0</v>
      </c>
      <c r="T172" s="444">
        <v>0</v>
      </c>
      <c r="U172" s="444">
        <v>0</v>
      </c>
      <c r="V172" s="444">
        <v>0</v>
      </c>
      <c r="W172" s="444">
        <v>68</v>
      </c>
      <c r="X172" s="418"/>
      <c r="Y172" s="445">
        <v>68</v>
      </c>
      <c r="Z172" s="420"/>
      <c r="AA172" s="421">
        <v>89.072999999999993</v>
      </c>
      <c r="AB172" s="421">
        <v>29.978000000000002</v>
      </c>
      <c r="AC172" s="454">
        <v>10</v>
      </c>
      <c r="AE172" s="419" t="s">
        <v>2050</v>
      </c>
      <c r="AF172" s="454">
        <v>1</v>
      </c>
      <c r="AG172" s="429">
        <v>43101</v>
      </c>
      <c r="AJ172" s="430">
        <v>43174</v>
      </c>
      <c r="AL172" s="424" t="s">
        <v>1976</v>
      </c>
      <c r="AO172" s="445"/>
      <c r="AP172" s="454">
        <v>556660</v>
      </c>
      <c r="AQ172" s="431">
        <v>43174</v>
      </c>
      <c r="AT172" s="426"/>
      <c r="AU172" s="426"/>
      <c r="AV172" s="426"/>
      <c r="AY172" s="427" t="s">
        <v>1722</v>
      </c>
      <c r="AZ172" s="373"/>
      <c r="BB172" s="374" t="s">
        <v>1728</v>
      </c>
      <c r="BC172" s="445"/>
      <c r="BE172" s="448">
        <v>0</v>
      </c>
      <c r="BF172" s="449">
        <v>0</v>
      </c>
      <c r="BG172" s="428" t="s">
        <v>1764</v>
      </c>
      <c r="BH172" s="445"/>
      <c r="BI172" s="491"/>
      <c r="BJ172" s="491">
        <v>13</v>
      </c>
      <c r="BK172" s="445" t="s">
        <v>2846</v>
      </c>
      <c r="BL172" s="419" t="s">
        <v>2847</v>
      </c>
      <c r="BM172" s="445"/>
      <c r="BN172" s="419" t="s">
        <v>1765</v>
      </c>
      <c r="BO172" s="419" t="s">
        <v>1765</v>
      </c>
      <c r="BP172" s="419" t="s">
        <v>1765</v>
      </c>
      <c r="BQ172" s="419" t="s">
        <v>1269</v>
      </c>
      <c r="BR172" s="419"/>
      <c r="BS172" s="419"/>
      <c r="BT172" s="445"/>
      <c r="BU172" s="445"/>
      <c r="BV172" s="445"/>
      <c r="BW172" s="445" t="s">
        <v>2019</v>
      </c>
      <c r="BX172" s="445"/>
      <c r="BY172" s="445"/>
    </row>
    <row r="173" spans="1:77" ht="15">
      <c r="A173" s="370" t="s">
        <v>1269</v>
      </c>
      <c r="B173" s="415" t="s">
        <v>85</v>
      </c>
      <c r="C173" s="416" t="s">
        <v>1619</v>
      </c>
      <c r="D173" s="444">
        <v>0</v>
      </c>
      <c r="E173" s="415" t="s">
        <v>1716</v>
      </c>
      <c r="F173" s="444">
        <v>3</v>
      </c>
      <c r="G173" s="415" t="s">
        <v>1661</v>
      </c>
      <c r="H173" s="444">
        <v>98</v>
      </c>
      <c r="I173" s="417" t="s">
        <v>1429</v>
      </c>
      <c r="J173" s="444">
        <v>0.1</v>
      </c>
      <c r="K173" s="444">
        <v>144</v>
      </c>
      <c r="L173" s="444">
        <v>0</v>
      </c>
      <c r="M173" s="444">
        <v>7</v>
      </c>
      <c r="N173" s="444">
        <v>0</v>
      </c>
      <c r="O173" s="444">
        <v>0</v>
      </c>
      <c r="P173" s="444">
        <v>0</v>
      </c>
      <c r="Q173" s="444">
        <v>0</v>
      </c>
      <c r="R173" s="444">
        <v>0</v>
      </c>
      <c r="S173" s="444">
        <v>25</v>
      </c>
      <c r="T173" s="444">
        <v>0</v>
      </c>
      <c r="U173" s="444">
        <v>0</v>
      </c>
      <c r="V173" s="444">
        <v>20</v>
      </c>
      <c r="W173" s="444">
        <v>0</v>
      </c>
      <c r="X173" s="418"/>
      <c r="Y173" s="445">
        <v>52</v>
      </c>
      <c r="Z173" s="420"/>
      <c r="AA173" s="421">
        <v>71.400999999999996</v>
      </c>
      <c r="AB173" s="421">
        <v>29.978000000000002</v>
      </c>
      <c r="AC173" s="454">
        <v>8</v>
      </c>
      <c r="AE173" s="419" t="s">
        <v>2051</v>
      </c>
      <c r="AF173" s="454">
        <v>1</v>
      </c>
      <c r="AG173" s="429">
        <v>43101</v>
      </c>
      <c r="AJ173" s="430">
        <v>43160</v>
      </c>
      <c r="AL173" s="424" t="s">
        <v>1713</v>
      </c>
      <c r="AO173" s="445"/>
      <c r="AP173" s="454">
        <v>556653</v>
      </c>
      <c r="AQ173" s="431">
        <v>43157</v>
      </c>
      <c r="AT173" s="426"/>
      <c r="AU173" s="426"/>
      <c r="AV173" s="426"/>
      <c r="AY173" s="427" t="s">
        <v>1717</v>
      </c>
      <c r="AZ173" s="373"/>
      <c r="BB173" s="374" t="s">
        <v>1727</v>
      </c>
      <c r="BC173" s="445"/>
      <c r="BE173" s="448">
        <v>0</v>
      </c>
      <c r="BF173" s="449">
        <v>0</v>
      </c>
      <c r="BG173" s="428" t="s">
        <v>1764</v>
      </c>
      <c r="BH173" s="445"/>
      <c r="BI173" s="491"/>
      <c r="BJ173" s="491">
        <v>1</v>
      </c>
      <c r="BK173" s="445" t="s">
        <v>2848</v>
      </c>
      <c r="BL173" s="419" t="s">
        <v>2849</v>
      </c>
      <c r="BM173" s="445"/>
      <c r="BN173" s="419" t="s">
        <v>1765</v>
      </c>
      <c r="BO173" s="419" t="s">
        <v>1765</v>
      </c>
      <c r="BP173" s="419" t="s">
        <v>1765</v>
      </c>
      <c r="BQ173" s="419" t="s">
        <v>1269</v>
      </c>
      <c r="BR173" s="419"/>
      <c r="BS173" s="419"/>
      <c r="BT173" s="445"/>
      <c r="BU173" s="445"/>
      <c r="BV173" s="445"/>
      <c r="BW173" s="445" t="s">
        <v>2019</v>
      </c>
      <c r="BX173" s="445"/>
      <c r="BY173" s="445"/>
    </row>
    <row r="174" spans="1:77" ht="15">
      <c r="A174" s="370" t="s">
        <v>1269</v>
      </c>
      <c r="B174" s="415" t="s">
        <v>296</v>
      </c>
      <c r="C174" s="416" t="s">
        <v>1682</v>
      </c>
      <c r="D174" s="444">
        <v>0</v>
      </c>
      <c r="E174" s="415" t="s">
        <v>1716</v>
      </c>
      <c r="F174" s="444">
        <v>3</v>
      </c>
      <c r="G174" s="415" t="s">
        <v>1661</v>
      </c>
      <c r="H174" s="444">
        <v>8</v>
      </c>
      <c r="I174" s="417" t="s">
        <v>1686</v>
      </c>
      <c r="J174" s="444">
        <v>3.9</v>
      </c>
      <c r="K174" s="444">
        <v>102</v>
      </c>
      <c r="L174" s="444">
        <v>0</v>
      </c>
      <c r="M174" s="444">
        <v>0</v>
      </c>
      <c r="N174" s="444">
        <v>10</v>
      </c>
      <c r="O174" s="444">
        <v>0</v>
      </c>
      <c r="P174" s="444">
        <v>0</v>
      </c>
      <c r="Q174" s="444">
        <v>0</v>
      </c>
      <c r="R174" s="444">
        <v>0</v>
      </c>
      <c r="S174" s="444">
        <v>0</v>
      </c>
      <c r="T174" s="444">
        <v>0</v>
      </c>
      <c r="U174" s="444">
        <v>9</v>
      </c>
      <c r="V174" s="444">
        <v>0</v>
      </c>
      <c r="W174" s="444">
        <v>45</v>
      </c>
      <c r="X174" s="418"/>
      <c r="Y174" s="445">
        <v>64</v>
      </c>
      <c r="Z174" s="420"/>
      <c r="AA174" s="421">
        <v>67.745999999999995</v>
      </c>
      <c r="AB174" s="421">
        <v>29.978000000000002</v>
      </c>
      <c r="AC174" s="454">
        <v>4</v>
      </c>
      <c r="AE174" s="419" t="s">
        <v>2047</v>
      </c>
      <c r="AF174" s="454">
        <v>1</v>
      </c>
      <c r="AG174" s="429">
        <v>43101</v>
      </c>
      <c r="AJ174" s="430">
        <v>43174</v>
      </c>
      <c r="AL174" s="424" t="s">
        <v>1024</v>
      </c>
      <c r="AO174" s="445"/>
      <c r="AP174" s="454">
        <v>556660</v>
      </c>
      <c r="AQ174" s="431">
        <v>43174</v>
      </c>
      <c r="AT174" s="426"/>
      <c r="AU174" s="426"/>
      <c r="AV174" s="426"/>
      <c r="AY174" s="427" t="s">
        <v>1722</v>
      </c>
      <c r="AZ174" s="373"/>
      <c r="BB174" s="374" t="s">
        <v>1728</v>
      </c>
      <c r="BC174" s="445"/>
      <c r="BE174" s="448">
        <v>0</v>
      </c>
      <c r="BF174" s="449">
        <v>0</v>
      </c>
      <c r="BG174" s="428" t="s">
        <v>1764</v>
      </c>
      <c r="BH174" s="445"/>
      <c r="BI174" s="491"/>
      <c r="BJ174" s="491">
        <v>1</v>
      </c>
      <c r="BK174" s="445" t="s">
        <v>2823</v>
      </c>
      <c r="BL174" s="419" t="s">
        <v>2824</v>
      </c>
      <c r="BM174" s="445"/>
      <c r="BN174" s="419" t="s">
        <v>1765</v>
      </c>
      <c r="BO174" s="419" t="s">
        <v>1765</v>
      </c>
      <c r="BP174" s="419" t="s">
        <v>1765</v>
      </c>
      <c r="BQ174" s="419" t="s">
        <v>1269</v>
      </c>
      <c r="BR174" s="419"/>
      <c r="BS174" s="419"/>
      <c r="BT174" s="445"/>
      <c r="BU174" s="445"/>
      <c r="BV174" s="445"/>
      <c r="BW174" s="445" t="s">
        <v>2019</v>
      </c>
      <c r="BX174" s="445"/>
      <c r="BY174" s="445"/>
    </row>
    <row r="175" spans="1:77" ht="15">
      <c r="A175" s="370" t="s">
        <v>1269</v>
      </c>
      <c r="B175" s="415" t="s">
        <v>296</v>
      </c>
      <c r="C175" s="416" t="s">
        <v>1682</v>
      </c>
      <c r="D175" s="444">
        <v>0</v>
      </c>
      <c r="E175" s="415" t="s">
        <v>1716</v>
      </c>
      <c r="F175" s="444">
        <v>3</v>
      </c>
      <c r="G175" s="415" t="s">
        <v>1661</v>
      </c>
      <c r="H175" s="444">
        <v>7</v>
      </c>
      <c r="I175" s="417" t="s">
        <v>1768</v>
      </c>
      <c r="J175" s="444">
        <v>1.3</v>
      </c>
      <c r="K175" s="444">
        <v>48</v>
      </c>
      <c r="L175" s="444">
        <v>0</v>
      </c>
      <c r="M175" s="444">
        <v>0</v>
      </c>
      <c r="N175" s="444">
        <v>3</v>
      </c>
      <c r="O175" s="444">
        <v>0</v>
      </c>
      <c r="P175" s="444">
        <v>0</v>
      </c>
      <c r="Q175" s="444">
        <v>0</v>
      </c>
      <c r="R175" s="444">
        <v>0</v>
      </c>
      <c r="S175" s="444">
        <v>0</v>
      </c>
      <c r="T175" s="444">
        <v>0</v>
      </c>
      <c r="U175" s="444">
        <v>6</v>
      </c>
      <c r="V175" s="444">
        <v>0</v>
      </c>
      <c r="W175" s="444">
        <v>11</v>
      </c>
      <c r="X175" s="418"/>
      <c r="Y175" s="445">
        <v>20</v>
      </c>
      <c r="Z175" s="420"/>
      <c r="AA175" s="421">
        <v>81.790000000000006</v>
      </c>
      <c r="AB175" s="421">
        <v>29.978000000000002</v>
      </c>
      <c r="AC175" s="454">
        <v>2</v>
      </c>
      <c r="AE175" s="419" t="s">
        <v>2038</v>
      </c>
      <c r="AF175" s="454">
        <v>1</v>
      </c>
      <c r="AG175" s="429">
        <v>43101</v>
      </c>
      <c r="AJ175" s="430">
        <v>43174</v>
      </c>
      <c r="AL175" s="424" t="s">
        <v>1024</v>
      </c>
      <c r="AO175" s="445"/>
      <c r="AP175" s="454">
        <v>556660</v>
      </c>
      <c r="AQ175" s="431">
        <v>43174</v>
      </c>
      <c r="AT175" s="426"/>
      <c r="AU175" s="426"/>
      <c r="AV175" s="426"/>
      <c r="AY175" s="427" t="s">
        <v>1722</v>
      </c>
      <c r="AZ175" s="373"/>
      <c r="BB175" s="374" t="s">
        <v>1728</v>
      </c>
      <c r="BC175" s="445"/>
      <c r="BE175" s="448">
        <v>0</v>
      </c>
      <c r="BF175" s="449">
        <v>0</v>
      </c>
      <c r="BG175" s="428" t="s">
        <v>1764</v>
      </c>
      <c r="BH175" s="445"/>
      <c r="BI175" s="491"/>
      <c r="BJ175" s="491">
        <v>2</v>
      </c>
      <c r="BK175" s="445" t="s">
        <v>2825</v>
      </c>
      <c r="BL175" s="419" t="s">
        <v>2826</v>
      </c>
      <c r="BM175" s="445"/>
      <c r="BN175" s="419" t="s">
        <v>1765</v>
      </c>
      <c r="BO175" s="419" t="s">
        <v>1765</v>
      </c>
      <c r="BP175" s="419" t="s">
        <v>1765</v>
      </c>
      <c r="BQ175" s="419" t="s">
        <v>1269</v>
      </c>
      <c r="BR175" s="419"/>
      <c r="BS175" s="419"/>
      <c r="BT175" s="445"/>
      <c r="BU175" s="445"/>
      <c r="BV175" s="445"/>
      <c r="BW175" s="445" t="s">
        <v>2019</v>
      </c>
      <c r="BX175" s="445"/>
      <c r="BY175" s="445"/>
    </row>
    <row r="176" spans="1:77" ht="15">
      <c r="A176" s="370" t="s">
        <v>1269</v>
      </c>
      <c r="B176" s="415" t="s">
        <v>132</v>
      </c>
      <c r="C176" s="416" t="s">
        <v>1682</v>
      </c>
      <c r="D176" s="444">
        <v>0</v>
      </c>
      <c r="E176" s="415" t="s">
        <v>1716</v>
      </c>
      <c r="F176" s="444">
        <v>3</v>
      </c>
      <c r="G176" s="415" t="s">
        <v>1661</v>
      </c>
      <c r="H176" s="444">
        <v>47</v>
      </c>
      <c r="I176" s="417" t="s">
        <v>1660</v>
      </c>
      <c r="J176" s="444">
        <v>1.7</v>
      </c>
      <c r="K176" s="444">
        <v>37</v>
      </c>
      <c r="L176" s="444">
        <v>0</v>
      </c>
      <c r="M176" s="444">
        <v>0</v>
      </c>
      <c r="N176" s="444">
        <v>0</v>
      </c>
      <c r="O176" s="444">
        <v>0</v>
      </c>
      <c r="P176" s="444">
        <v>0</v>
      </c>
      <c r="Q176" s="444">
        <v>0</v>
      </c>
      <c r="R176" s="444">
        <v>0</v>
      </c>
      <c r="S176" s="444">
        <v>0</v>
      </c>
      <c r="T176" s="444">
        <v>0</v>
      </c>
      <c r="U176" s="444">
        <v>0</v>
      </c>
      <c r="V176" s="444">
        <v>0</v>
      </c>
      <c r="W176" s="444">
        <v>16</v>
      </c>
      <c r="X176" s="418"/>
      <c r="Y176" s="445"/>
      <c r="Z176" s="420"/>
      <c r="AA176" s="421">
        <v>89.888000000000005</v>
      </c>
      <c r="AB176" s="421">
        <v>29.978000000000002</v>
      </c>
      <c r="AC176" s="454">
        <v>2</v>
      </c>
      <c r="AE176" s="419" t="s">
        <v>2053</v>
      </c>
      <c r="AF176" s="454">
        <v>1</v>
      </c>
      <c r="AG176" s="429">
        <v>43101</v>
      </c>
      <c r="AJ176" s="430">
        <v>43171</v>
      </c>
      <c r="AL176" s="424" t="s">
        <v>1027</v>
      </c>
      <c r="AO176" s="445"/>
      <c r="AP176" s="454">
        <v>556655</v>
      </c>
      <c r="AQ176" s="431">
        <v>43171</v>
      </c>
      <c r="AT176" s="426"/>
      <c r="AU176" s="426"/>
      <c r="AV176" s="426"/>
      <c r="AY176" s="427" t="s">
        <v>1720</v>
      </c>
      <c r="AZ176" s="373"/>
      <c r="BB176" s="374" t="s">
        <v>1726</v>
      </c>
      <c r="BC176" s="445"/>
      <c r="BE176" s="448">
        <v>0</v>
      </c>
      <c r="BF176" s="449">
        <v>0</v>
      </c>
      <c r="BG176" s="428" t="s">
        <v>1764</v>
      </c>
      <c r="BH176" s="445"/>
      <c r="BI176" s="491"/>
      <c r="BJ176" s="491">
        <v>4</v>
      </c>
      <c r="BK176" s="445" t="s">
        <v>2850</v>
      </c>
      <c r="BL176" s="419" t="s">
        <v>2851</v>
      </c>
      <c r="BM176" s="445"/>
      <c r="BN176" s="419" t="s">
        <v>1765</v>
      </c>
      <c r="BO176" s="419" t="s">
        <v>1765</v>
      </c>
      <c r="BP176" s="419" t="s">
        <v>1765</v>
      </c>
      <c r="BQ176" s="419" t="s">
        <v>1269</v>
      </c>
      <c r="BR176" s="419"/>
      <c r="BS176" s="419"/>
      <c r="BT176" s="445"/>
      <c r="BU176" s="445"/>
      <c r="BV176" s="445"/>
      <c r="BW176" s="445" t="s">
        <v>2019</v>
      </c>
      <c r="BX176" s="445"/>
      <c r="BY176" s="445"/>
    </row>
    <row r="177" spans="1:77" ht="15">
      <c r="A177" s="370" t="s">
        <v>1269</v>
      </c>
      <c r="B177" s="415" t="s">
        <v>132</v>
      </c>
      <c r="C177" s="416" t="s">
        <v>1682</v>
      </c>
      <c r="D177" s="444">
        <v>0</v>
      </c>
      <c r="E177" s="415" t="s">
        <v>1716</v>
      </c>
      <c r="F177" s="444">
        <v>3</v>
      </c>
      <c r="G177" s="415" t="s">
        <v>1661</v>
      </c>
      <c r="H177" s="444">
        <v>63</v>
      </c>
      <c r="I177" s="417" t="s">
        <v>1660</v>
      </c>
      <c r="J177" s="444">
        <v>3.9</v>
      </c>
      <c r="K177" s="444">
        <v>136</v>
      </c>
      <c r="L177" s="444">
        <v>0</v>
      </c>
      <c r="M177" s="444">
        <v>0</v>
      </c>
      <c r="N177" s="444">
        <v>22</v>
      </c>
      <c r="O177" s="444">
        <v>0</v>
      </c>
      <c r="P177" s="444">
        <v>0</v>
      </c>
      <c r="Q177" s="444">
        <v>0</v>
      </c>
      <c r="R177" s="444">
        <v>0</v>
      </c>
      <c r="S177" s="444">
        <v>0</v>
      </c>
      <c r="T177" s="444">
        <v>0</v>
      </c>
      <c r="U177" s="444">
        <v>0</v>
      </c>
      <c r="V177" s="444">
        <v>0</v>
      </c>
      <c r="W177" s="444">
        <v>81</v>
      </c>
      <c r="X177" s="418"/>
      <c r="Y177" s="445"/>
      <c r="Z177" s="420"/>
      <c r="AA177" s="421">
        <v>66.290000000000006</v>
      </c>
      <c r="AB177" s="421">
        <v>29.978000000000002</v>
      </c>
      <c r="AC177" s="454">
        <v>5</v>
      </c>
      <c r="AE177" s="419" t="s">
        <v>2054</v>
      </c>
      <c r="AF177" s="454">
        <v>1</v>
      </c>
      <c r="AG177" s="429">
        <v>43101</v>
      </c>
      <c r="AJ177" s="430">
        <v>43171</v>
      </c>
      <c r="AL177" s="424" t="s">
        <v>924</v>
      </c>
      <c r="AO177" s="445"/>
      <c r="AP177" s="454">
        <v>556655</v>
      </c>
      <c r="AQ177" s="431">
        <v>43171</v>
      </c>
      <c r="AT177" s="426"/>
      <c r="AU177" s="426"/>
      <c r="AV177" s="426"/>
      <c r="AY177" s="427" t="s">
        <v>1720</v>
      </c>
      <c r="AZ177" s="373"/>
      <c r="BB177" s="374" t="s">
        <v>1726</v>
      </c>
      <c r="BC177" s="445"/>
      <c r="BE177" s="448">
        <v>0</v>
      </c>
      <c r="BF177" s="449">
        <v>0</v>
      </c>
      <c r="BG177" s="428" t="s">
        <v>1764</v>
      </c>
      <c r="BH177" s="445"/>
      <c r="BI177" s="491"/>
      <c r="BJ177" s="491">
        <v>5</v>
      </c>
      <c r="BK177" s="445" t="s">
        <v>2852</v>
      </c>
      <c r="BL177" s="419" t="s">
        <v>2853</v>
      </c>
      <c r="BM177" s="445"/>
      <c r="BN177" s="419" t="s">
        <v>1765</v>
      </c>
      <c r="BO177" s="419" t="s">
        <v>1765</v>
      </c>
      <c r="BP177" s="419" t="s">
        <v>1765</v>
      </c>
      <c r="BQ177" s="419" t="s">
        <v>1269</v>
      </c>
      <c r="BR177" s="419"/>
      <c r="BS177" s="419"/>
      <c r="BT177" s="445"/>
      <c r="BU177" s="445"/>
      <c r="BV177" s="445"/>
      <c r="BW177" s="445" t="s">
        <v>2019</v>
      </c>
      <c r="BX177" s="445"/>
      <c r="BY177" s="445"/>
    </row>
    <row r="178" spans="1:77" ht="15">
      <c r="A178" s="370" t="s">
        <v>1269</v>
      </c>
      <c r="B178" s="415" t="s">
        <v>132</v>
      </c>
      <c r="C178" s="416" t="s">
        <v>1682</v>
      </c>
      <c r="D178" s="444">
        <v>0</v>
      </c>
      <c r="E178" s="415" t="s">
        <v>1716</v>
      </c>
      <c r="F178" s="444">
        <v>3</v>
      </c>
      <c r="G178" s="415" t="s">
        <v>1661</v>
      </c>
      <c r="H178" s="444">
        <v>111</v>
      </c>
      <c r="I178" s="417" t="s">
        <v>1632</v>
      </c>
      <c r="J178" s="444">
        <v>3.4</v>
      </c>
      <c r="K178" s="444">
        <v>210</v>
      </c>
      <c r="L178" s="444">
        <v>0</v>
      </c>
      <c r="M178" s="444">
        <v>0</v>
      </c>
      <c r="N178" s="444">
        <v>0</v>
      </c>
      <c r="O178" s="444">
        <v>0</v>
      </c>
      <c r="P178" s="444">
        <v>0</v>
      </c>
      <c r="Q178" s="444">
        <v>0</v>
      </c>
      <c r="R178" s="444">
        <v>0</v>
      </c>
      <c r="S178" s="444">
        <v>0</v>
      </c>
      <c r="T178" s="444">
        <v>0</v>
      </c>
      <c r="U178" s="444">
        <v>0</v>
      </c>
      <c r="V178" s="444">
        <v>0</v>
      </c>
      <c r="W178" s="444">
        <v>22</v>
      </c>
      <c r="X178" s="418"/>
      <c r="Y178" s="445"/>
      <c r="Z178" s="420"/>
      <c r="AA178" s="421">
        <v>180.11500000000001</v>
      </c>
      <c r="AB178" s="421">
        <v>29.978000000000002</v>
      </c>
      <c r="AC178" s="454">
        <v>4</v>
      </c>
      <c r="AE178" s="419" t="s">
        <v>2055</v>
      </c>
      <c r="AF178" s="454">
        <v>1</v>
      </c>
      <c r="AG178" s="429">
        <v>43101</v>
      </c>
      <c r="AJ178" s="430">
        <v>43171</v>
      </c>
      <c r="AL178" s="424" t="s">
        <v>919</v>
      </c>
      <c r="AO178" s="445"/>
      <c r="AP178" s="454">
        <v>556655</v>
      </c>
      <c r="AQ178" s="431">
        <v>43171</v>
      </c>
      <c r="AT178" s="426"/>
      <c r="AU178" s="426"/>
      <c r="AV178" s="426"/>
      <c r="AY178" s="427" t="s">
        <v>1720</v>
      </c>
      <c r="AZ178" s="373"/>
      <c r="BB178" s="374" t="s">
        <v>1726</v>
      </c>
      <c r="BC178" s="445"/>
      <c r="BE178" s="448">
        <v>0</v>
      </c>
      <c r="BF178" s="449">
        <v>0</v>
      </c>
      <c r="BG178" s="428" t="s">
        <v>1764</v>
      </c>
      <c r="BH178" s="445"/>
      <c r="BI178" s="491"/>
      <c r="BJ178" s="491">
        <v>6</v>
      </c>
      <c r="BK178" s="445" t="s">
        <v>2854</v>
      </c>
      <c r="BL178" s="419" t="s">
        <v>2855</v>
      </c>
      <c r="BM178" s="445"/>
      <c r="BN178" s="419" t="s">
        <v>1765</v>
      </c>
      <c r="BO178" s="419" t="s">
        <v>1765</v>
      </c>
      <c r="BP178" s="419" t="s">
        <v>1765</v>
      </c>
      <c r="BQ178" s="419" t="s">
        <v>1269</v>
      </c>
      <c r="BR178" s="419"/>
      <c r="BS178" s="419"/>
      <c r="BT178" s="445"/>
      <c r="BU178" s="445"/>
      <c r="BV178" s="445"/>
      <c r="BW178" s="445" t="s">
        <v>2019</v>
      </c>
      <c r="BX178" s="445"/>
      <c r="BY178" s="445"/>
    </row>
    <row r="179" spans="1:77" ht="15">
      <c r="A179" s="370" t="s">
        <v>1269</v>
      </c>
      <c r="B179" s="415" t="s">
        <v>132</v>
      </c>
      <c r="C179" s="416" t="s">
        <v>1682</v>
      </c>
      <c r="D179" s="444">
        <v>0</v>
      </c>
      <c r="E179" s="415" t="s">
        <v>1716</v>
      </c>
      <c r="F179" s="444">
        <v>3</v>
      </c>
      <c r="G179" s="415" t="s">
        <v>1661</v>
      </c>
      <c r="H179" s="444">
        <v>4</v>
      </c>
      <c r="I179" s="417" t="s">
        <v>1686</v>
      </c>
      <c r="J179" s="444">
        <v>1.6</v>
      </c>
      <c r="K179" s="444">
        <v>61</v>
      </c>
      <c r="L179" s="444">
        <v>0</v>
      </c>
      <c r="M179" s="444">
        <v>0</v>
      </c>
      <c r="N179" s="444">
        <v>0</v>
      </c>
      <c r="O179" s="444">
        <v>0</v>
      </c>
      <c r="P179" s="444">
        <v>0</v>
      </c>
      <c r="Q179" s="444">
        <v>0</v>
      </c>
      <c r="R179" s="444">
        <v>0</v>
      </c>
      <c r="S179" s="444">
        <v>0</v>
      </c>
      <c r="T179" s="444">
        <v>28</v>
      </c>
      <c r="U179" s="444">
        <v>0</v>
      </c>
      <c r="V179" s="444">
        <v>0</v>
      </c>
      <c r="W179" s="444">
        <v>0</v>
      </c>
      <c r="X179" s="418"/>
      <c r="Y179" s="445"/>
      <c r="Z179" s="420"/>
      <c r="AA179" s="421">
        <v>85.326999999999998</v>
      </c>
      <c r="AB179" s="421">
        <v>29.978000000000002</v>
      </c>
      <c r="AC179" s="454">
        <v>2</v>
      </c>
      <c r="AE179" s="419" t="s">
        <v>2056</v>
      </c>
      <c r="AF179" s="454">
        <v>1</v>
      </c>
      <c r="AG179" s="429">
        <v>43101</v>
      </c>
      <c r="AJ179" s="430">
        <v>43171</v>
      </c>
      <c r="AL179" s="424" t="s">
        <v>926</v>
      </c>
      <c r="AO179" s="445"/>
      <c r="AP179" s="454">
        <v>556645</v>
      </c>
      <c r="AQ179" s="431">
        <v>43122</v>
      </c>
      <c r="AT179" s="426"/>
      <c r="AU179" s="426"/>
      <c r="AV179" s="426"/>
      <c r="AY179" s="427" t="s">
        <v>1720</v>
      </c>
      <c r="AZ179" s="373"/>
      <c r="BB179" s="374" t="s">
        <v>1726</v>
      </c>
      <c r="BC179" s="445"/>
      <c r="BE179" s="448">
        <v>0</v>
      </c>
      <c r="BF179" s="449">
        <v>0</v>
      </c>
      <c r="BG179" s="428" t="s">
        <v>1764</v>
      </c>
      <c r="BH179" s="445"/>
      <c r="BI179" s="491"/>
      <c r="BJ179" s="491">
        <v>2</v>
      </c>
      <c r="BK179" s="445" t="s">
        <v>2856</v>
      </c>
      <c r="BL179" s="419" t="s">
        <v>2857</v>
      </c>
      <c r="BM179" s="445"/>
      <c r="BN179" s="419" t="s">
        <v>1765</v>
      </c>
      <c r="BO179" s="419" t="s">
        <v>1765</v>
      </c>
      <c r="BP179" s="419" t="s">
        <v>1765</v>
      </c>
      <c r="BQ179" s="419" t="s">
        <v>1269</v>
      </c>
      <c r="BR179" s="419"/>
      <c r="BS179" s="419"/>
      <c r="BT179" s="445"/>
      <c r="BU179" s="445"/>
      <c r="BV179" s="445"/>
      <c r="BW179" s="445" t="s">
        <v>2019</v>
      </c>
      <c r="BX179" s="445"/>
      <c r="BY179" s="445"/>
    </row>
    <row r="180" spans="1:77" ht="15">
      <c r="A180" s="370" t="s">
        <v>1269</v>
      </c>
      <c r="B180" s="415" t="s">
        <v>132</v>
      </c>
      <c r="C180" s="416" t="s">
        <v>1682</v>
      </c>
      <c r="D180" s="444">
        <v>0</v>
      </c>
      <c r="E180" s="415" t="s">
        <v>1716</v>
      </c>
      <c r="F180" s="444">
        <v>3</v>
      </c>
      <c r="G180" s="415" t="s">
        <v>1661</v>
      </c>
      <c r="H180" s="444">
        <v>4</v>
      </c>
      <c r="I180" s="417" t="s">
        <v>1688</v>
      </c>
      <c r="J180" s="444">
        <v>2</v>
      </c>
      <c r="K180" s="444">
        <v>66</v>
      </c>
      <c r="L180" s="444">
        <v>0</v>
      </c>
      <c r="M180" s="444">
        <v>0</v>
      </c>
      <c r="N180" s="444">
        <v>1</v>
      </c>
      <c r="O180" s="444">
        <v>0</v>
      </c>
      <c r="P180" s="444">
        <v>0</v>
      </c>
      <c r="Q180" s="444">
        <v>0</v>
      </c>
      <c r="R180" s="444">
        <v>0</v>
      </c>
      <c r="S180" s="444">
        <v>0</v>
      </c>
      <c r="T180" s="444">
        <v>24</v>
      </c>
      <c r="U180" s="444">
        <v>0</v>
      </c>
      <c r="V180" s="444">
        <v>0</v>
      </c>
      <c r="W180" s="444">
        <v>0</v>
      </c>
      <c r="X180" s="418"/>
      <c r="Y180" s="445"/>
      <c r="Z180" s="420"/>
      <c r="AA180" s="421">
        <v>93.977999999999994</v>
      </c>
      <c r="AB180" s="421">
        <v>29.978000000000002</v>
      </c>
      <c r="AC180" s="454">
        <v>1</v>
      </c>
      <c r="AE180" s="419" t="s">
        <v>2057</v>
      </c>
      <c r="AF180" s="454">
        <v>1</v>
      </c>
      <c r="AG180" s="429">
        <v>43101</v>
      </c>
      <c r="AJ180" s="430">
        <v>43171</v>
      </c>
      <c r="AL180" s="424" t="s">
        <v>926</v>
      </c>
      <c r="AO180" s="445"/>
      <c r="AP180" s="454">
        <v>556645</v>
      </c>
      <c r="AQ180" s="431">
        <v>43122</v>
      </c>
      <c r="AT180" s="426"/>
      <c r="AU180" s="426"/>
      <c r="AV180" s="426"/>
      <c r="AY180" s="427" t="s">
        <v>1720</v>
      </c>
      <c r="AZ180" s="373"/>
      <c r="BB180" s="374" t="s">
        <v>1726</v>
      </c>
      <c r="BC180" s="445"/>
      <c r="BE180" s="448">
        <v>0</v>
      </c>
      <c r="BF180" s="449">
        <v>0</v>
      </c>
      <c r="BG180" s="428" t="s">
        <v>1764</v>
      </c>
      <c r="BH180" s="445"/>
      <c r="BI180" s="491"/>
      <c r="BJ180" s="491">
        <v>1</v>
      </c>
      <c r="BK180" s="445" t="s">
        <v>2858</v>
      </c>
      <c r="BL180" s="419" t="s">
        <v>2859</v>
      </c>
      <c r="BM180" s="445"/>
      <c r="BN180" s="419" t="s">
        <v>1765</v>
      </c>
      <c r="BO180" s="419" t="s">
        <v>1765</v>
      </c>
      <c r="BP180" s="419" t="s">
        <v>1765</v>
      </c>
      <c r="BQ180" s="419" t="s">
        <v>1269</v>
      </c>
      <c r="BR180" s="419"/>
      <c r="BS180" s="419"/>
      <c r="BT180" s="445"/>
      <c r="BU180" s="445"/>
      <c r="BV180" s="445"/>
      <c r="BW180" s="445" t="s">
        <v>2019</v>
      </c>
      <c r="BX180" s="445"/>
      <c r="BY180" s="445"/>
    </row>
    <row r="181" spans="1:77" ht="15">
      <c r="A181" s="370" t="s">
        <v>1269</v>
      </c>
      <c r="B181" s="415" t="s">
        <v>132</v>
      </c>
      <c r="C181" s="416" t="s">
        <v>1682</v>
      </c>
      <c r="D181" s="444">
        <v>0</v>
      </c>
      <c r="E181" s="415" t="s">
        <v>1716</v>
      </c>
      <c r="F181" s="444">
        <v>3</v>
      </c>
      <c r="G181" s="415" t="s">
        <v>1661</v>
      </c>
      <c r="H181" s="444">
        <v>6</v>
      </c>
      <c r="I181" s="417" t="s">
        <v>1685</v>
      </c>
      <c r="J181" s="444">
        <v>0.7</v>
      </c>
      <c r="K181" s="444">
        <v>73</v>
      </c>
      <c r="L181" s="444">
        <v>0</v>
      </c>
      <c r="M181" s="444">
        <v>0</v>
      </c>
      <c r="N181" s="444">
        <v>0</v>
      </c>
      <c r="O181" s="444">
        <v>0</v>
      </c>
      <c r="P181" s="444">
        <v>0</v>
      </c>
      <c r="Q181" s="444">
        <v>0</v>
      </c>
      <c r="R181" s="444">
        <v>0</v>
      </c>
      <c r="S181" s="444">
        <v>0</v>
      </c>
      <c r="T181" s="444">
        <v>0</v>
      </c>
      <c r="U181" s="444">
        <v>0</v>
      </c>
      <c r="V181" s="444">
        <v>0</v>
      </c>
      <c r="W181" s="444">
        <v>21</v>
      </c>
      <c r="X181" s="418"/>
      <c r="Y181" s="445"/>
      <c r="Z181" s="420"/>
      <c r="AA181" s="421">
        <v>92.515000000000001</v>
      </c>
      <c r="AB181" s="421">
        <v>29.978000000000002</v>
      </c>
      <c r="AC181" s="454">
        <v>2</v>
      </c>
      <c r="AE181" s="419" t="s">
        <v>2058</v>
      </c>
      <c r="AF181" s="454">
        <v>1</v>
      </c>
      <c r="AG181" s="429">
        <v>43101</v>
      </c>
      <c r="AJ181" s="430">
        <v>43171</v>
      </c>
      <c r="AL181" s="424" t="s">
        <v>926</v>
      </c>
      <c r="AO181" s="445"/>
      <c r="AP181" s="454">
        <v>556645</v>
      </c>
      <c r="AQ181" s="431">
        <v>43122</v>
      </c>
      <c r="AT181" s="426"/>
      <c r="AU181" s="426"/>
      <c r="AV181" s="426"/>
      <c r="AY181" s="427" t="s">
        <v>1720</v>
      </c>
      <c r="AZ181" s="373"/>
      <c r="BB181" s="374" t="s">
        <v>1726</v>
      </c>
      <c r="BC181" s="445"/>
      <c r="BE181" s="448">
        <v>0</v>
      </c>
      <c r="BF181" s="449">
        <v>0</v>
      </c>
      <c r="BG181" s="428" t="s">
        <v>1764</v>
      </c>
      <c r="BH181" s="445"/>
      <c r="BI181" s="491"/>
      <c r="BJ181" s="491">
        <v>3</v>
      </c>
      <c r="BK181" s="445" t="s">
        <v>2860</v>
      </c>
      <c r="BL181" s="419" t="s">
        <v>2861</v>
      </c>
      <c r="BM181" s="445"/>
      <c r="BN181" s="419" t="s">
        <v>1765</v>
      </c>
      <c r="BO181" s="419" t="s">
        <v>1765</v>
      </c>
      <c r="BP181" s="419" t="s">
        <v>1765</v>
      </c>
      <c r="BQ181" s="419" t="s">
        <v>1269</v>
      </c>
      <c r="BR181" s="419"/>
      <c r="BS181" s="419"/>
      <c r="BT181" s="445"/>
      <c r="BU181" s="445"/>
      <c r="BV181" s="445"/>
      <c r="BW181" s="445" t="s">
        <v>2019</v>
      </c>
      <c r="BX181" s="445"/>
      <c r="BY181" s="445"/>
    </row>
    <row r="182" spans="1:77" ht="15">
      <c r="A182" s="370" t="s">
        <v>1269</v>
      </c>
      <c r="B182" s="415" t="s">
        <v>132</v>
      </c>
      <c r="C182" s="416" t="s">
        <v>2059</v>
      </c>
      <c r="D182" s="444">
        <v>0</v>
      </c>
      <c r="E182" s="415" t="s">
        <v>1716</v>
      </c>
      <c r="F182" s="444">
        <v>3</v>
      </c>
      <c r="G182" s="415" t="s">
        <v>1661</v>
      </c>
      <c r="H182" s="444">
        <v>111</v>
      </c>
      <c r="I182" s="417" t="s">
        <v>1422</v>
      </c>
      <c r="J182" s="444">
        <v>0.1</v>
      </c>
      <c r="K182" s="444">
        <v>49</v>
      </c>
      <c r="L182" s="444">
        <v>0</v>
      </c>
      <c r="M182" s="444">
        <v>0</v>
      </c>
      <c r="N182" s="444">
        <v>0</v>
      </c>
      <c r="O182" s="444">
        <v>0</v>
      </c>
      <c r="P182" s="444">
        <v>0</v>
      </c>
      <c r="Q182" s="444">
        <v>0</v>
      </c>
      <c r="R182" s="444">
        <v>0</v>
      </c>
      <c r="S182" s="444">
        <v>0</v>
      </c>
      <c r="T182" s="444">
        <v>0</v>
      </c>
      <c r="U182" s="444">
        <v>0</v>
      </c>
      <c r="V182" s="444">
        <v>0</v>
      </c>
      <c r="W182" s="444">
        <v>3</v>
      </c>
      <c r="X182" s="418"/>
      <c r="Y182" s="445"/>
      <c r="Z182" s="420"/>
      <c r="AA182" s="421">
        <v>204.809</v>
      </c>
      <c r="AB182" s="421">
        <v>29.978000000000002</v>
      </c>
      <c r="AC182" s="454">
        <v>1</v>
      </c>
      <c r="AE182" s="419" t="s">
        <v>2060</v>
      </c>
      <c r="AF182" s="454">
        <v>1</v>
      </c>
      <c r="AG182" s="429">
        <v>43101</v>
      </c>
      <c r="AJ182" s="430">
        <v>43171</v>
      </c>
      <c r="AL182" s="424" t="s">
        <v>919</v>
      </c>
      <c r="AO182" s="445"/>
      <c r="AP182" s="454">
        <v>556655</v>
      </c>
      <c r="AQ182" s="431">
        <v>43171</v>
      </c>
      <c r="AT182" s="426"/>
      <c r="AU182" s="426"/>
      <c r="AV182" s="426"/>
      <c r="AY182" s="427" t="s">
        <v>1720</v>
      </c>
      <c r="AZ182" s="373"/>
      <c r="BB182" s="374" t="s">
        <v>1726</v>
      </c>
      <c r="BC182" s="445"/>
      <c r="BE182" s="448">
        <v>0</v>
      </c>
      <c r="BF182" s="449">
        <v>0</v>
      </c>
      <c r="BG182" s="428" t="s">
        <v>1764</v>
      </c>
      <c r="BH182" s="445"/>
      <c r="BI182" s="491"/>
      <c r="BJ182" s="491">
        <v>7</v>
      </c>
      <c r="BK182" s="445" t="s">
        <v>232</v>
      </c>
      <c r="BL182" s="419" t="s">
        <v>2862</v>
      </c>
      <c r="BM182" s="445"/>
      <c r="BN182" s="419" t="s">
        <v>1765</v>
      </c>
      <c r="BO182" s="419" t="s">
        <v>1765</v>
      </c>
      <c r="BP182" s="419" t="s">
        <v>1765</v>
      </c>
      <c r="BQ182" s="419" t="s">
        <v>1269</v>
      </c>
      <c r="BR182" s="419"/>
      <c r="BS182" s="419"/>
      <c r="BT182" s="445"/>
      <c r="BU182" s="445"/>
      <c r="BV182" s="445"/>
      <c r="BW182" s="445" t="s">
        <v>2019</v>
      </c>
      <c r="BX182" s="445"/>
      <c r="BY182" s="445"/>
    </row>
    <row r="183" spans="1:77" ht="15">
      <c r="A183" s="370" t="s">
        <v>1269</v>
      </c>
      <c r="B183" s="415" t="s">
        <v>132</v>
      </c>
      <c r="C183" s="416" t="s">
        <v>2059</v>
      </c>
      <c r="D183" s="444">
        <v>0</v>
      </c>
      <c r="E183" s="415" t="s">
        <v>1716</v>
      </c>
      <c r="F183" s="444">
        <v>3</v>
      </c>
      <c r="G183" s="415" t="s">
        <v>1661</v>
      </c>
      <c r="H183" s="444">
        <v>111</v>
      </c>
      <c r="I183" s="417" t="s">
        <v>1428</v>
      </c>
      <c r="J183" s="444">
        <v>0.5</v>
      </c>
      <c r="K183" s="444">
        <v>109</v>
      </c>
      <c r="L183" s="444">
        <v>0</v>
      </c>
      <c r="M183" s="444">
        <v>0</v>
      </c>
      <c r="N183" s="444">
        <v>0</v>
      </c>
      <c r="O183" s="444">
        <v>0</v>
      </c>
      <c r="P183" s="444">
        <v>0</v>
      </c>
      <c r="Q183" s="444">
        <v>0</v>
      </c>
      <c r="R183" s="444">
        <v>0</v>
      </c>
      <c r="S183" s="444">
        <v>0</v>
      </c>
      <c r="T183" s="444">
        <v>0</v>
      </c>
      <c r="U183" s="444">
        <v>0</v>
      </c>
      <c r="V183" s="444">
        <v>0</v>
      </c>
      <c r="W183" s="444">
        <v>15</v>
      </c>
      <c r="X183" s="418"/>
      <c r="Y183" s="445"/>
      <c r="Z183" s="420"/>
      <c r="AA183" s="421">
        <v>121.58</v>
      </c>
      <c r="AB183" s="421">
        <v>29.978000000000002</v>
      </c>
      <c r="AC183" s="454">
        <v>1</v>
      </c>
      <c r="AE183" s="419" t="s">
        <v>2061</v>
      </c>
      <c r="AF183" s="454">
        <v>1</v>
      </c>
      <c r="AG183" s="429">
        <v>43101</v>
      </c>
      <c r="AJ183" s="430">
        <v>43171</v>
      </c>
      <c r="AL183" s="424" t="s">
        <v>919</v>
      </c>
      <c r="AO183" s="445"/>
      <c r="AP183" s="454">
        <v>556655</v>
      </c>
      <c r="AQ183" s="431">
        <v>43171</v>
      </c>
      <c r="AT183" s="426"/>
      <c r="AU183" s="426"/>
      <c r="AV183" s="426"/>
      <c r="AY183" s="427" t="s">
        <v>1720</v>
      </c>
      <c r="AZ183" s="373"/>
      <c r="BB183" s="374" t="s">
        <v>1726</v>
      </c>
      <c r="BC183" s="445"/>
      <c r="BE183" s="448">
        <v>0</v>
      </c>
      <c r="BF183" s="449">
        <v>0</v>
      </c>
      <c r="BG183" s="428" t="s">
        <v>1764</v>
      </c>
      <c r="BH183" s="445"/>
      <c r="BI183" s="491"/>
      <c r="BJ183" s="491">
        <v>8</v>
      </c>
      <c r="BK183" s="445" t="s">
        <v>2863</v>
      </c>
      <c r="BL183" s="419" t="s">
        <v>2864</v>
      </c>
      <c r="BM183" s="445"/>
      <c r="BN183" s="419" t="s">
        <v>1765</v>
      </c>
      <c r="BO183" s="419" t="s">
        <v>1765</v>
      </c>
      <c r="BP183" s="419" t="s">
        <v>1765</v>
      </c>
      <c r="BQ183" s="419" t="s">
        <v>1269</v>
      </c>
      <c r="BR183" s="419"/>
      <c r="BS183" s="419"/>
      <c r="BT183" s="445"/>
      <c r="BU183" s="445"/>
      <c r="BV183" s="445"/>
      <c r="BW183" s="445" t="s">
        <v>2019</v>
      </c>
      <c r="BX183" s="445"/>
      <c r="BY183" s="445"/>
    </row>
    <row r="184" spans="1:77" ht="15">
      <c r="A184" s="370" t="s">
        <v>1269</v>
      </c>
      <c r="B184" s="415" t="s">
        <v>216</v>
      </c>
      <c r="C184" s="416" t="s">
        <v>1682</v>
      </c>
      <c r="D184" s="444">
        <v>0</v>
      </c>
      <c r="E184" s="415" t="s">
        <v>1716</v>
      </c>
      <c r="F184" s="444">
        <v>3</v>
      </c>
      <c r="G184" s="415" t="s">
        <v>1661</v>
      </c>
      <c r="H184" s="444">
        <v>11</v>
      </c>
      <c r="I184" s="417" t="s">
        <v>1768</v>
      </c>
      <c r="J184" s="444">
        <v>2.7</v>
      </c>
      <c r="K184" s="444">
        <v>185</v>
      </c>
      <c r="L184" s="444">
        <v>0</v>
      </c>
      <c r="M184" s="444">
        <v>0</v>
      </c>
      <c r="N184" s="444">
        <v>4</v>
      </c>
      <c r="O184" s="444">
        <v>0</v>
      </c>
      <c r="P184" s="444">
        <v>0</v>
      </c>
      <c r="Q184" s="444">
        <v>0</v>
      </c>
      <c r="R184" s="444">
        <v>0</v>
      </c>
      <c r="S184" s="444">
        <v>0</v>
      </c>
      <c r="T184" s="444">
        <v>0</v>
      </c>
      <c r="U184" s="444">
        <v>0</v>
      </c>
      <c r="V184" s="444">
        <v>4</v>
      </c>
      <c r="W184" s="444">
        <v>55</v>
      </c>
      <c r="X184" s="418"/>
      <c r="Y184" s="445"/>
      <c r="Z184" s="420"/>
      <c r="AA184" s="421">
        <v>85.305000000000007</v>
      </c>
      <c r="AB184" s="421">
        <v>29.978000000000002</v>
      </c>
      <c r="AC184" s="454">
        <v>5</v>
      </c>
      <c r="AE184" s="419" t="s">
        <v>2062</v>
      </c>
      <c r="AF184" s="454">
        <v>1</v>
      </c>
      <c r="AG184" s="429">
        <v>43101</v>
      </c>
      <c r="AJ184" s="430">
        <v>43172</v>
      </c>
      <c r="AL184" s="424" t="s">
        <v>1018</v>
      </c>
      <c r="AO184" s="445"/>
      <c r="AP184" s="454">
        <v>556658</v>
      </c>
      <c r="AQ184" s="431">
        <v>43172</v>
      </c>
      <c r="AT184" s="426"/>
      <c r="AU184" s="426"/>
      <c r="AV184" s="426"/>
      <c r="AY184" s="427" t="s">
        <v>1720</v>
      </c>
      <c r="AZ184" s="373"/>
      <c r="BB184" s="374" t="s">
        <v>1726</v>
      </c>
      <c r="BC184" s="445"/>
      <c r="BE184" s="448">
        <v>0</v>
      </c>
      <c r="BF184" s="449">
        <v>0</v>
      </c>
      <c r="BG184" s="428" t="s">
        <v>1764</v>
      </c>
      <c r="BH184" s="445"/>
      <c r="BI184" s="491"/>
      <c r="BJ184" s="491">
        <v>1</v>
      </c>
      <c r="BK184" s="445" t="s">
        <v>2865</v>
      </c>
      <c r="BL184" s="419" t="s">
        <v>2866</v>
      </c>
      <c r="BM184" s="445"/>
      <c r="BN184" s="419" t="s">
        <v>1765</v>
      </c>
      <c r="BO184" s="419" t="s">
        <v>1765</v>
      </c>
      <c r="BP184" s="419" t="s">
        <v>1765</v>
      </c>
      <c r="BQ184" s="419" t="s">
        <v>1269</v>
      </c>
      <c r="BR184" s="419"/>
      <c r="BS184" s="419"/>
      <c r="BT184" s="445"/>
      <c r="BU184" s="445"/>
      <c r="BV184" s="445"/>
      <c r="BW184" s="445" t="s">
        <v>2019</v>
      </c>
      <c r="BX184" s="445"/>
      <c r="BY184" s="445"/>
    </row>
    <row r="185" spans="1:77" ht="15">
      <c r="A185" s="370" t="s">
        <v>1269</v>
      </c>
      <c r="B185" s="415" t="s">
        <v>216</v>
      </c>
      <c r="C185" s="416" t="s">
        <v>1682</v>
      </c>
      <c r="D185" s="444">
        <v>0</v>
      </c>
      <c r="E185" s="415" t="s">
        <v>1716</v>
      </c>
      <c r="F185" s="444">
        <v>3</v>
      </c>
      <c r="G185" s="415" t="s">
        <v>1661</v>
      </c>
      <c r="H185" s="444">
        <v>66</v>
      </c>
      <c r="I185" s="417" t="s">
        <v>1664</v>
      </c>
      <c r="J185" s="444">
        <v>23.9</v>
      </c>
      <c r="K185" s="444">
        <v>1266</v>
      </c>
      <c r="L185" s="444">
        <v>0</v>
      </c>
      <c r="M185" s="444">
        <v>228</v>
      </c>
      <c r="N185" s="444">
        <v>0</v>
      </c>
      <c r="O185" s="444">
        <v>0</v>
      </c>
      <c r="P185" s="444">
        <v>0</v>
      </c>
      <c r="Q185" s="444">
        <v>0</v>
      </c>
      <c r="R185" s="444">
        <v>0</v>
      </c>
      <c r="S185" s="444">
        <v>0</v>
      </c>
      <c r="T185" s="444">
        <v>0</v>
      </c>
      <c r="U185" s="444">
        <v>0</v>
      </c>
      <c r="V185" s="444">
        <v>503</v>
      </c>
      <c r="W185" s="444">
        <v>42</v>
      </c>
      <c r="X185" s="418"/>
      <c r="Y185" s="445"/>
      <c r="Z185" s="420"/>
      <c r="AA185" s="421">
        <v>60.606999999999999</v>
      </c>
      <c r="AB185" s="421">
        <v>29.978000000000002</v>
      </c>
      <c r="AC185" s="454">
        <v>93</v>
      </c>
      <c r="AE185" s="419" t="s">
        <v>2063</v>
      </c>
      <c r="AF185" s="454">
        <v>1</v>
      </c>
      <c r="AG185" s="429">
        <v>43101</v>
      </c>
      <c r="AJ185" s="430">
        <v>43172</v>
      </c>
      <c r="AL185" s="424" t="s">
        <v>914</v>
      </c>
      <c r="AO185" s="445"/>
      <c r="AP185" s="454">
        <v>556658</v>
      </c>
      <c r="AQ185" s="431">
        <v>43172</v>
      </c>
      <c r="AT185" s="426"/>
      <c r="AU185" s="426"/>
      <c r="AV185" s="426"/>
      <c r="AY185" s="427" t="s">
        <v>1720</v>
      </c>
      <c r="AZ185" s="373"/>
      <c r="BB185" s="374" t="s">
        <v>1726</v>
      </c>
      <c r="BC185" s="445"/>
      <c r="BE185" s="448">
        <v>0</v>
      </c>
      <c r="BF185" s="449">
        <v>0</v>
      </c>
      <c r="BG185" s="428" t="s">
        <v>1764</v>
      </c>
      <c r="BH185" s="445"/>
      <c r="BI185" s="491"/>
      <c r="BJ185" s="491">
        <v>2</v>
      </c>
      <c r="BK185" s="445" t="s">
        <v>279</v>
      </c>
      <c r="BL185" s="419" t="s">
        <v>2867</v>
      </c>
      <c r="BM185" s="445"/>
      <c r="BN185" s="419" t="s">
        <v>1765</v>
      </c>
      <c r="BO185" s="419" t="s">
        <v>1765</v>
      </c>
      <c r="BP185" s="419" t="s">
        <v>1765</v>
      </c>
      <c r="BQ185" s="419" t="s">
        <v>1269</v>
      </c>
      <c r="BR185" s="419"/>
      <c r="BS185" s="419"/>
      <c r="BT185" s="445"/>
      <c r="BU185" s="445"/>
      <c r="BV185" s="445"/>
      <c r="BW185" s="445" t="s">
        <v>2019</v>
      </c>
      <c r="BX185" s="445"/>
      <c r="BY185" s="445"/>
    </row>
    <row r="186" spans="1:77" ht="15">
      <c r="A186" s="370" t="s">
        <v>1269</v>
      </c>
      <c r="B186" s="415" t="s">
        <v>216</v>
      </c>
      <c r="C186" s="416" t="s">
        <v>1682</v>
      </c>
      <c r="D186" s="444">
        <v>0</v>
      </c>
      <c r="E186" s="415" t="s">
        <v>1716</v>
      </c>
      <c r="F186" s="444">
        <v>3</v>
      </c>
      <c r="G186" s="415" t="s">
        <v>1661</v>
      </c>
      <c r="H186" s="444">
        <v>71</v>
      </c>
      <c r="I186" s="417" t="s">
        <v>1632</v>
      </c>
      <c r="J186" s="444">
        <v>13.5</v>
      </c>
      <c r="K186" s="444">
        <v>219</v>
      </c>
      <c r="L186" s="444">
        <v>0</v>
      </c>
      <c r="M186" s="444">
        <v>39</v>
      </c>
      <c r="N186" s="444">
        <v>0</v>
      </c>
      <c r="O186" s="444">
        <v>0</v>
      </c>
      <c r="P186" s="444">
        <v>0</v>
      </c>
      <c r="Q186" s="444">
        <v>0</v>
      </c>
      <c r="R186" s="444">
        <v>0</v>
      </c>
      <c r="S186" s="444">
        <v>0</v>
      </c>
      <c r="T186" s="444">
        <v>0</v>
      </c>
      <c r="U186" s="444">
        <v>0</v>
      </c>
      <c r="V186" s="444">
        <v>112</v>
      </c>
      <c r="W186" s="444">
        <v>9</v>
      </c>
      <c r="X186" s="418"/>
      <c r="Y186" s="445"/>
      <c r="Z186" s="420"/>
      <c r="AA186" s="421">
        <v>66.593000000000004</v>
      </c>
      <c r="AB186" s="421">
        <v>29.978000000000002</v>
      </c>
      <c r="AC186" s="454">
        <v>18</v>
      </c>
      <c r="AE186" s="419" t="s">
        <v>2064</v>
      </c>
      <c r="AF186" s="454">
        <v>1</v>
      </c>
      <c r="AG186" s="429">
        <v>43101</v>
      </c>
      <c r="AJ186" s="430">
        <v>43172</v>
      </c>
      <c r="AL186" s="424" t="s">
        <v>914</v>
      </c>
      <c r="AO186" s="445"/>
      <c r="AP186" s="454">
        <v>556658</v>
      </c>
      <c r="AQ186" s="431">
        <v>43172</v>
      </c>
      <c r="AT186" s="426"/>
      <c r="AU186" s="426"/>
      <c r="AV186" s="426"/>
      <c r="AY186" s="427" t="s">
        <v>1720</v>
      </c>
      <c r="AZ186" s="373"/>
      <c r="BB186" s="374" t="s">
        <v>1726</v>
      </c>
      <c r="BC186" s="445"/>
      <c r="BE186" s="448">
        <v>0</v>
      </c>
      <c r="BF186" s="449">
        <v>0</v>
      </c>
      <c r="BG186" s="428" t="s">
        <v>1764</v>
      </c>
      <c r="BH186" s="445"/>
      <c r="BI186" s="491"/>
      <c r="BJ186" s="491">
        <v>3</v>
      </c>
      <c r="BK186" s="445" t="s">
        <v>30</v>
      </c>
      <c r="BL186" s="419" t="s">
        <v>2868</v>
      </c>
      <c r="BM186" s="445"/>
      <c r="BN186" s="419" t="s">
        <v>1765</v>
      </c>
      <c r="BO186" s="419" t="s">
        <v>1765</v>
      </c>
      <c r="BP186" s="419" t="s">
        <v>1765</v>
      </c>
      <c r="BQ186" s="419" t="s">
        <v>1269</v>
      </c>
      <c r="BR186" s="419"/>
      <c r="BS186" s="419"/>
      <c r="BT186" s="445"/>
      <c r="BU186" s="445"/>
      <c r="BV186" s="445"/>
      <c r="BW186" s="445" t="s">
        <v>2019</v>
      </c>
      <c r="BX186" s="445"/>
      <c r="BY186" s="445"/>
    </row>
    <row r="187" spans="1:77" ht="15">
      <c r="A187" s="370" t="s">
        <v>1269</v>
      </c>
      <c r="B187" s="415" t="s">
        <v>216</v>
      </c>
      <c r="C187" s="416" t="s">
        <v>1682</v>
      </c>
      <c r="D187" s="444">
        <v>0</v>
      </c>
      <c r="E187" s="415" t="s">
        <v>1716</v>
      </c>
      <c r="F187" s="444">
        <v>3</v>
      </c>
      <c r="G187" s="415" t="s">
        <v>1661</v>
      </c>
      <c r="H187" s="444">
        <v>71</v>
      </c>
      <c r="I187" s="417" t="s">
        <v>1664</v>
      </c>
      <c r="J187" s="444">
        <v>0.8</v>
      </c>
      <c r="K187" s="444">
        <v>47</v>
      </c>
      <c r="L187" s="444">
        <v>0</v>
      </c>
      <c r="M187" s="444">
        <v>8</v>
      </c>
      <c r="N187" s="444">
        <v>0</v>
      </c>
      <c r="O187" s="444">
        <v>0</v>
      </c>
      <c r="P187" s="444">
        <v>0</v>
      </c>
      <c r="Q187" s="444">
        <v>0</v>
      </c>
      <c r="R187" s="444">
        <v>0</v>
      </c>
      <c r="S187" s="444">
        <v>0</v>
      </c>
      <c r="T187" s="444">
        <v>0</v>
      </c>
      <c r="U187" s="444">
        <v>0</v>
      </c>
      <c r="V187" s="444">
        <v>20</v>
      </c>
      <c r="W187" s="444">
        <v>0</v>
      </c>
      <c r="X187" s="418"/>
      <c r="Y187" s="445"/>
      <c r="Z187" s="420"/>
      <c r="AA187" s="421">
        <v>60.686</v>
      </c>
      <c r="AB187" s="421">
        <v>29.978000000000002</v>
      </c>
      <c r="AC187" s="454">
        <v>3</v>
      </c>
      <c r="AE187" s="419" t="s">
        <v>2065</v>
      </c>
      <c r="AF187" s="454">
        <v>1</v>
      </c>
      <c r="AG187" s="429">
        <v>43101</v>
      </c>
      <c r="AJ187" s="430">
        <v>43172</v>
      </c>
      <c r="AL187" s="424" t="s">
        <v>914</v>
      </c>
      <c r="AO187" s="445"/>
      <c r="AP187" s="454">
        <v>556658</v>
      </c>
      <c r="AQ187" s="431">
        <v>43172</v>
      </c>
      <c r="AT187" s="426"/>
      <c r="AU187" s="426"/>
      <c r="AV187" s="426"/>
      <c r="AY187" s="427" t="s">
        <v>1720</v>
      </c>
      <c r="AZ187" s="373"/>
      <c r="BB187" s="374" t="s">
        <v>1726</v>
      </c>
      <c r="BC187" s="445"/>
      <c r="BE187" s="448">
        <v>0</v>
      </c>
      <c r="BF187" s="449">
        <v>0</v>
      </c>
      <c r="BG187" s="428" t="s">
        <v>1764</v>
      </c>
      <c r="BH187" s="445"/>
      <c r="BI187" s="491"/>
      <c r="BJ187" s="491">
        <v>4</v>
      </c>
      <c r="BK187" s="445" t="s">
        <v>2869</v>
      </c>
      <c r="BL187" s="419" t="s">
        <v>2870</v>
      </c>
      <c r="BM187" s="445"/>
      <c r="BN187" s="419" t="s">
        <v>1765</v>
      </c>
      <c r="BO187" s="419" t="s">
        <v>1765</v>
      </c>
      <c r="BP187" s="419" t="s">
        <v>1765</v>
      </c>
      <c r="BQ187" s="419" t="s">
        <v>1269</v>
      </c>
      <c r="BR187" s="419"/>
      <c r="BS187" s="419"/>
      <c r="BT187" s="445"/>
      <c r="BU187" s="445"/>
      <c r="BV187" s="445"/>
      <c r="BW187" s="445" t="s">
        <v>2019</v>
      </c>
      <c r="BX187" s="445"/>
      <c r="BY187" s="445"/>
    </row>
    <row r="188" spans="1:77" ht="15">
      <c r="A188" s="370" t="s">
        <v>1269</v>
      </c>
      <c r="B188" s="415" t="s">
        <v>216</v>
      </c>
      <c r="C188" s="416" t="s">
        <v>1682</v>
      </c>
      <c r="D188" s="444">
        <v>0</v>
      </c>
      <c r="E188" s="415" t="s">
        <v>1716</v>
      </c>
      <c r="F188" s="444">
        <v>3</v>
      </c>
      <c r="G188" s="415" t="s">
        <v>1661</v>
      </c>
      <c r="H188" s="444">
        <v>81</v>
      </c>
      <c r="I188" s="417" t="s">
        <v>1683</v>
      </c>
      <c r="J188" s="444">
        <v>4.4000000000000004</v>
      </c>
      <c r="K188" s="444">
        <v>383</v>
      </c>
      <c r="L188" s="444">
        <v>0</v>
      </c>
      <c r="M188" s="444">
        <v>34</v>
      </c>
      <c r="N188" s="444">
        <v>0</v>
      </c>
      <c r="O188" s="444">
        <v>0</v>
      </c>
      <c r="P188" s="444">
        <v>0</v>
      </c>
      <c r="Q188" s="444">
        <v>0</v>
      </c>
      <c r="R188" s="444">
        <v>0</v>
      </c>
      <c r="S188" s="444">
        <v>0</v>
      </c>
      <c r="T188" s="444">
        <v>0</v>
      </c>
      <c r="U188" s="444">
        <v>0</v>
      </c>
      <c r="V188" s="444">
        <v>88</v>
      </c>
      <c r="W188" s="444">
        <v>22</v>
      </c>
      <c r="X188" s="418"/>
      <c r="Y188" s="445"/>
      <c r="Z188" s="420"/>
      <c r="AA188" s="421">
        <v>68.847999999999999</v>
      </c>
      <c r="AB188" s="421">
        <v>29.978000000000002</v>
      </c>
      <c r="AC188" s="454">
        <v>19</v>
      </c>
      <c r="AE188" s="419" t="s">
        <v>2066</v>
      </c>
      <c r="AF188" s="454">
        <v>1</v>
      </c>
      <c r="AG188" s="429">
        <v>43101</v>
      </c>
      <c r="AJ188" s="430">
        <v>43172</v>
      </c>
      <c r="AL188" s="424" t="s">
        <v>1772</v>
      </c>
      <c r="AO188" s="445"/>
      <c r="AP188" s="454">
        <v>556658</v>
      </c>
      <c r="AQ188" s="431">
        <v>43172</v>
      </c>
      <c r="AT188" s="426"/>
      <c r="AU188" s="426"/>
      <c r="AV188" s="426"/>
      <c r="AY188" s="427" t="s">
        <v>1720</v>
      </c>
      <c r="AZ188" s="373"/>
      <c r="BB188" s="374" t="s">
        <v>1726</v>
      </c>
      <c r="BC188" s="445"/>
      <c r="BE188" s="448">
        <v>0</v>
      </c>
      <c r="BF188" s="449">
        <v>0</v>
      </c>
      <c r="BG188" s="428" t="s">
        <v>1764</v>
      </c>
      <c r="BH188" s="445"/>
      <c r="BI188" s="491"/>
      <c r="BJ188" s="491">
        <v>5</v>
      </c>
      <c r="BK188" s="445" t="s">
        <v>26</v>
      </c>
      <c r="BL188" s="419" t="s">
        <v>2871</v>
      </c>
      <c r="BM188" s="445"/>
      <c r="BN188" s="419" t="s">
        <v>1765</v>
      </c>
      <c r="BO188" s="419" t="s">
        <v>1765</v>
      </c>
      <c r="BP188" s="419" t="s">
        <v>1765</v>
      </c>
      <c r="BQ188" s="419" t="s">
        <v>1269</v>
      </c>
      <c r="BR188" s="419"/>
      <c r="BS188" s="419"/>
      <c r="BT188" s="445"/>
      <c r="BU188" s="445"/>
      <c r="BV188" s="445"/>
      <c r="BW188" s="445" t="s">
        <v>2019</v>
      </c>
      <c r="BX188" s="445"/>
      <c r="BY188" s="445"/>
    </row>
    <row r="189" spans="1:77" ht="15">
      <c r="A189" s="370" t="s">
        <v>1269</v>
      </c>
      <c r="B189" s="415" t="s">
        <v>216</v>
      </c>
      <c r="C189" s="416" t="s">
        <v>1682</v>
      </c>
      <c r="D189" s="444">
        <v>0</v>
      </c>
      <c r="E189" s="415" t="s">
        <v>1716</v>
      </c>
      <c r="F189" s="444">
        <v>3</v>
      </c>
      <c r="G189" s="415" t="s">
        <v>1661</v>
      </c>
      <c r="H189" s="444">
        <v>69</v>
      </c>
      <c r="I189" s="417" t="s">
        <v>1683</v>
      </c>
      <c r="J189" s="444">
        <v>8.1999999999999993</v>
      </c>
      <c r="K189" s="444">
        <v>419</v>
      </c>
      <c r="L189" s="444">
        <v>0</v>
      </c>
      <c r="M189" s="444">
        <v>0</v>
      </c>
      <c r="N189" s="444">
        <v>20</v>
      </c>
      <c r="O189" s="444">
        <v>0</v>
      </c>
      <c r="P189" s="444">
        <v>0</v>
      </c>
      <c r="Q189" s="444">
        <v>0</v>
      </c>
      <c r="R189" s="444">
        <v>0</v>
      </c>
      <c r="S189" s="444">
        <v>0</v>
      </c>
      <c r="T189" s="444">
        <v>0</v>
      </c>
      <c r="U189" s="444">
        <v>45</v>
      </c>
      <c r="V189" s="444">
        <v>0</v>
      </c>
      <c r="W189" s="444">
        <v>150</v>
      </c>
      <c r="X189" s="418"/>
      <c r="Y189" s="445"/>
      <c r="Z189" s="420"/>
      <c r="AA189" s="421">
        <v>74.903999999999996</v>
      </c>
      <c r="AB189" s="421">
        <v>29.978000000000002</v>
      </c>
      <c r="AC189" s="454">
        <v>16</v>
      </c>
      <c r="AE189" s="419" t="s">
        <v>2067</v>
      </c>
      <c r="AF189" s="454">
        <v>1</v>
      </c>
      <c r="AG189" s="429">
        <v>43101</v>
      </c>
      <c r="AJ189" s="430">
        <v>43182</v>
      </c>
      <c r="AL189" s="424" t="s">
        <v>1019</v>
      </c>
      <c r="AO189" s="445"/>
      <c r="AP189" s="454">
        <v>556663</v>
      </c>
      <c r="AQ189" s="431">
        <v>43182</v>
      </c>
      <c r="AT189" s="426"/>
      <c r="AU189" s="426"/>
      <c r="AV189" s="426"/>
      <c r="AY189" s="427" t="s">
        <v>1720</v>
      </c>
      <c r="AZ189" s="373"/>
      <c r="BB189" s="374" t="s">
        <v>1726</v>
      </c>
      <c r="BC189" s="445"/>
      <c r="BE189" s="448">
        <v>0</v>
      </c>
      <c r="BF189" s="449">
        <v>0</v>
      </c>
      <c r="BG189" s="428" t="s">
        <v>1764</v>
      </c>
      <c r="BH189" s="445"/>
      <c r="BI189" s="491"/>
      <c r="BJ189" s="491">
        <v>6</v>
      </c>
      <c r="BK189" s="445" t="s">
        <v>38</v>
      </c>
      <c r="BL189" s="419" t="s">
        <v>2872</v>
      </c>
      <c r="BM189" s="445"/>
      <c r="BN189" s="419" t="s">
        <v>1765</v>
      </c>
      <c r="BO189" s="419" t="s">
        <v>1765</v>
      </c>
      <c r="BP189" s="419" t="s">
        <v>1765</v>
      </c>
      <c r="BQ189" s="419" t="s">
        <v>1269</v>
      </c>
      <c r="BR189" s="419"/>
      <c r="BS189" s="419"/>
      <c r="BT189" s="445"/>
      <c r="BU189" s="445"/>
      <c r="BV189" s="445"/>
      <c r="BW189" s="445" t="s">
        <v>2019</v>
      </c>
      <c r="BX189" s="445"/>
      <c r="BY189" s="445"/>
    </row>
    <row r="190" spans="1:77" ht="15">
      <c r="A190" s="370" t="s">
        <v>1269</v>
      </c>
      <c r="B190" s="415" t="s">
        <v>216</v>
      </c>
      <c r="C190" s="416" t="s">
        <v>1682</v>
      </c>
      <c r="D190" s="444">
        <v>0</v>
      </c>
      <c r="E190" s="415" t="s">
        <v>1716</v>
      </c>
      <c r="F190" s="444">
        <v>3</v>
      </c>
      <c r="G190" s="415" t="s">
        <v>1661</v>
      </c>
      <c r="H190" s="444">
        <v>95</v>
      </c>
      <c r="I190" s="417" t="s">
        <v>1770</v>
      </c>
      <c r="J190" s="444">
        <v>1.1000000000000001</v>
      </c>
      <c r="K190" s="444">
        <v>141</v>
      </c>
      <c r="L190" s="444">
        <v>0</v>
      </c>
      <c r="M190" s="444">
        <v>0</v>
      </c>
      <c r="N190" s="444">
        <v>7</v>
      </c>
      <c r="O190" s="444">
        <v>0</v>
      </c>
      <c r="P190" s="444">
        <v>0</v>
      </c>
      <c r="Q190" s="444">
        <v>0</v>
      </c>
      <c r="R190" s="444">
        <v>0</v>
      </c>
      <c r="S190" s="444">
        <v>0</v>
      </c>
      <c r="T190" s="444">
        <v>0</v>
      </c>
      <c r="U190" s="444">
        <v>7</v>
      </c>
      <c r="V190" s="444">
        <v>0</v>
      </c>
      <c r="W190" s="444">
        <v>64</v>
      </c>
      <c r="X190" s="418"/>
      <c r="Y190" s="445"/>
      <c r="Z190" s="420"/>
      <c r="AA190" s="421">
        <v>74.328000000000003</v>
      </c>
      <c r="AB190" s="421">
        <v>29.978000000000002</v>
      </c>
      <c r="AC190" s="454">
        <v>5</v>
      </c>
      <c r="AE190" s="419" t="s">
        <v>2068</v>
      </c>
      <c r="AF190" s="454">
        <v>1</v>
      </c>
      <c r="AG190" s="429">
        <v>43101</v>
      </c>
      <c r="AJ190" s="430">
        <v>43182</v>
      </c>
      <c r="AL190" s="424" t="s">
        <v>1019</v>
      </c>
      <c r="AO190" s="445"/>
      <c r="AP190" s="454">
        <v>556663</v>
      </c>
      <c r="AQ190" s="431">
        <v>43182</v>
      </c>
      <c r="AT190" s="426"/>
      <c r="AU190" s="426"/>
      <c r="AV190" s="426"/>
      <c r="AY190" s="427" t="s">
        <v>1720</v>
      </c>
      <c r="AZ190" s="373"/>
      <c r="BB190" s="374" t="s">
        <v>1726</v>
      </c>
      <c r="BC190" s="445"/>
      <c r="BE190" s="448">
        <v>0</v>
      </c>
      <c r="BF190" s="449">
        <v>0</v>
      </c>
      <c r="BG190" s="428" t="s">
        <v>1764</v>
      </c>
      <c r="BH190" s="445"/>
      <c r="BI190" s="491"/>
      <c r="BJ190" s="491">
        <v>7</v>
      </c>
      <c r="BK190" s="445" t="s">
        <v>2873</v>
      </c>
      <c r="BL190" s="419" t="s">
        <v>2874</v>
      </c>
      <c r="BM190" s="445"/>
      <c r="BN190" s="419" t="s">
        <v>1765</v>
      </c>
      <c r="BO190" s="419" t="s">
        <v>1765</v>
      </c>
      <c r="BP190" s="419" t="s">
        <v>1765</v>
      </c>
      <c r="BQ190" s="419" t="s">
        <v>1269</v>
      </c>
      <c r="BR190" s="419"/>
      <c r="BS190" s="419"/>
      <c r="BT190" s="445"/>
      <c r="BU190" s="445"/>
      <c r="BV190" s="445"/>
      <c r="BW190" s="445" t="s">
        <v>2019</v>
      </c>
      <c r="BX190" s="445"/>
      <c r="BY190" s="445"/>
    </row>
    <row r="191" spans="1:77" ht="15">
      <c r="A191" s="370" t="s">
        <v>1269</v>
      </c>
      <c r="B191" s="415" t="s">
        <v>216</v>
      </c>
      <c r="C191" s="416" t="s">
        <v>1682</v>
      </c>
      <c r="D191" s="444">
        <v>0</v>
      </c>
      <c r="E191" s="415" t="s">
        <v>1716</v>
      </c>
      <c r="F191" s="444">
        <v>3</v>
      </c>
      <c r="G191" s="415" t="s">
        <v>1661</v>
      </c>
      <c r="H191" s="444">
        <v>99</v>
      </c>
      <c r="I191" s="417" t="s">
        <v>1632</v>
      </c>
      <c r="J191" s="444">
        <v>1.3</v>
      </c>
      <c r="K191" s="444">
        <v>151</v>
      </c>
      <c r="L191" s="444">
        <v>0</v>
      </c>
      <c r="M191" s="444">
        <v>0</v>
      </c>
      <c r="N191" s="444">
        <v>12</v>
      </c>
      <c r="O191" s="444">
        <v>0</v>
      </c>
      <c r="P191" s="444">
        <v>0</v>
      </c>
      <c r="Q191" s="444">
        <v>0</v>
      </c>
      <c r="R191" s="444">
        <v>0</v>
      </c>
      <c r="S191" s="444">
        <v>0</v>
      </c>
      <c r="T191" s="444">
        <v>0</v>
      </c>
      <c r="U191" s="444">
        <v>7</v>
      </c>
      <c r="V191" s="444">
        <v>0</v>
      </c>
      <c r="W191" s="444">
        <v>81</v>
      </c>
      <c r="X191" s="418"/>
      <c r="Y191" s="445"/>
      <c r="Z191" s="420"/>
      <c r="AA191" s="421">
        <v>69.891999999999996</v>
      </c>
      <c r="AB191" s="421">
        <v>29.978000000000002</v>
      </c>
      <c r="AC191" s="454">
        <v>7</v>
      </c>
      <c r="AE191" s="419" t="s">
        <v>2069</v>
      </c>
      <c r="AF191" s="454">
        <v>1</v>
      </c>
      <c r="AG191" s="429">
        <v>43101</v>
      </c>
      <c r="AJ191" s="430">
        <v>43182</v>
      </c>
      <c r="AL191" s="424" t="s">
        <v>1019</v>
      </c>
      <c r="AO191" s="445"/>
      <c r="AP191" s="454">
        <v>556663</v>
      </c>
      <c r="AQ191" s="431">
        <v>43182</v>
      </c>
      <c r="AT191" s="426"/>
      <c r="AU191" s="426"/>
      <c r="AV191" s="426"/>
      <c r="AY191" s="427" t="s">
        <v>1720</v>
      </c>
      <c r="AZ191" s="373"/>
      <c r="BB191" s="374" t="s">
        <v>1726</v>
      </c>
      <c r="BC191" s="445"/>
      <c r="BE191" s="448">
        <v>0</v>
      </c>
      <c r="BF191" s="449">
        <v>0</v>
      </c>
      <c r="BG191" s="428" t="s">
        <v>1764</v>
      </c>
      <c r="BH191" s="445"/>
      <c r="BI191" s="491"/>
      <c r="BJ191" s="491">
        <v>8</v>
      </c>
      <c r="BK191" s="445" t="s">
        <v>297</v>
      </c>
      <c r="BL191" s="419" t="s">
        <v>2875</v>
      </c>
      <c r="BM191" s="445"/>
      <c r="BN191" s="419" t="s">
        <v>1765</v>
      </c>
      <c r="BO191" s="419" t="s">
        <v>1765</v>
      </c>
      <c r="BP191" s="419" t="s">
        <v>1765</v>
      </c>
      <c r="BQ191" s="419" t="s">
        <v>1269</v>
      </c>
      <c r="BR191" s="419"/>
      <c r="BS191" s="419"/>
      <c r="BT191" s="445"/>
      <c r="BU191" s="445"/>
      <c r="BV191" s="445"/>
      <c r="BW191" s="445" t="s">
        <v>2019</v>
      </c>
      <c r="BX191" s="445"/>
      <c r="BY191" s="445"/>
    </row>
    <row r="192" spans="1:77" ht="15">
      <c r="A192" s="370" t="s">
        <v>1269</v>
      </c>
      <c r="B192" s="415" t="s">
        <v>216</v>
      </c>
      <c r="C192" s="416" t="s">
        <v>1682</v>
      </c>
      <c r="D192" s="444">
        <v>0</v>
      </c>
      <c r="E192" s="415" t="s">
        <v>1716</v>
      </c>
      <c r="F192" s="444">
        <v>3</v>
      </c>
      <c r="G192" s="415" t="s">
        <v>1661</v>
      </c>
      <c r="H192" s="444">
        <v>113</v>
      </c>
      <c r="I192" s="417" t="s">
        <v>1687</v>
      </c>
      <c r="J192" s="444">
        <v>6.5</v>
      </c>
      <c r="K192" s="444">
        <v>283</v>
      </c>
      <c r="L192" s="444">
        <v>0</v>
      </c>
      <c r="M192" s="444">
        <v>0</v>
      </c>
      <c r="N192" s="444">
        <v>23</v>
      </c>
      <c r="O192" s="444">
        <v>0</v>
      </c>
      <c r="P192" s="444">
        <v>0</v>
      </c>
      <c r="Q192" s="444">
        <v>0</v>
      </c>
      <c r="R192" s="444">
        <v>0</v>
      </c>
      <c r="S192" s="444">
        <v>0</v>
      </c>
      <c r="T192" s="444">
        <v>0</v>
      </c>
      <c r="U192" s="444">
        <v>0</v>
      </c>
      <c r="V192" s="444">
        <v>0</v>
      </c>
      <c r="W192" s="444">
        <v>143</v>
      </c>
      <c r="X192" s="418"/>
      <c r="Y192" s="445"/>
      <c r="Z192" s="420"/>
      <c r="AA192" s="421">
        <v>72.131</v>
      </c>
      <c r="AB192" s="421">
        <v>29.978000000000002</v>
      </c>
      <c r="AC192" s="454">
        <v>10</v>
      </c>
      <c r="AE192" s="419" t="s">
        <v>2070</v>
      </c>
      <c r="AF192" s="454">
        <v>1</v>
      </c>
      <c r="AG192" s="429">
        <v>43101</v>
      </c>
      <c r="AJ192" s="430">
        <v>43182</v>
      </c>
      <c r="AL192" s="424" t="s">
        <v>2071</v>
      </c>
      <c r="AO192" s="445"/>
      <c r="AP192" s="454">
        <v>556663</v>
      </c>
      <c r="AQ192" s="431">
        <v>43182</v>
      </c>
      <c r="AT192" s="426"/>
      <c r="AU192" s="426"/>
      <c r="AV192" s="426"/>
      <c r="AY192" s="427" t="s">
        <v>1720</v>
      </c>
      <c r="AZ192" s="373"/>
      <c r="BB192" s="374" t="s">
        <v>1726</v>
      </c>
      <c r="BC192" s="445"/>
      <c r="BE192" s="448">
        <v>0</v>
      </c>
      <c r="BF192" s="449">
        <v>0</v>
      </c>
      <c r="BG192" s="428" t="s">
        <v>1764</v>
      </c>
      <c r="BH192" s="445"/>
      <c r="BI192" s="491"/>
      <c r="BJ192" s="491">
        <v>9</v>
      </c>
      <c r="BK192" s="445" t="s">
        <v>2876</v>
      </c>
      <c r="BL192" s="419" t="s">
        <v>2877</v>
      </c>
      <c r="BM192" s="445"/>
      <c r="BN192" s="419" t="s">
        <v>1765</v>
      </c>
      <c r="BO192" s="419" t="s">
        <v>1765</v>
      </c>
      <c r="BP192" s="419" t="s">
        <v>1765</v>
      </c>
      <c r="BQ192" s="419" t="s">
        <v>1269</v>
      </c>
      <c r="BR192" s="419"/>
      <c r="BS192" s="419"/>
      <c r="BT192" s="445"/>
      <c r="BU192" s="445"/>
      <c r="BV192" s="445"/>
      <c r="BW192" s="445" t="s">
        <v>2019</v>
      </c>
      <c r="BX192" s="445"/>
      <c r="BY192" s="445"/>
    </row>
    <row r="193" spans="1:77" ht="15">
      <c r="A193" s="370" t="s">
        <v>1269</v>
      </c>
      <c r="B193" s="415" t="s">
        <v>177</v>
      </c>
      <c r="C193" s="416" t="s">
        <v>1682</v>
      </c>
      <c r="D193" s="444">
        <v>0</v>
      </c>
      <c r="E193" s="415" t="s">
        <v>1716</v>
      </c>
      <c r="F193" s="444">
        <v>3</v>
      </c>
      <c r="G193" s="415" t="s">
        <v>1661</v>
      </c>
      <c r="H193" s="444">
        <v>24</v>
      </c>
      <c r="I193" s="417" t="s">
        <v>1683</v>
      </c>
      <c r="J193" s="444">
        <v>5</v>
      </c>
      <c r="K193" s="444">
        <v>137</v>
      </c>
      <c r="L193" s="444">
        <v>0</v>
      </c>
      <c r="M193" s="444">
        <v>0</v>
      </c>
      <c r="N193" s="444">
        <v>31</v>
      </c>
      <c r="O193" s="444">
        <v>0</v>
      </c>
      <c r="P193" s="444">
        <v>0</v>
      </c>
      <c r="Q193" s="444">
        <v>0</v>
      </c>
      <c r="R193" s="444">
        <v>3</v>
      </c>
      <c r="S193" s="444">
        <v>0</v>
      </c>
      <c r="T193" s="444">
        <v>63</v>
      </c>
      <c r="U193" s="444">
        <v>0</v>
      </c>
      <c r="V193" s="444">
        <v>0</v>
      </c>
      <c r="W193" s="444">
        <v>9</v>
      </c>
      <c r="X193" s="418"/>
      <c r="Y193" s="445"/>
      <c r="Z193" s="420"/>
      <c r="AA193" s="421">
        <v>67.751000000000005</v>
      </c>
      <c r="AB193" s="421">
        <v>29.978000000000002</v>
      </c>
      <c r="AC193" s="454">
        <v>6</v>
      </c>
      <c r="AE193" s="419" t="s">
        <v>2072</v>
      </c>
      <c r="AF193" s="454">
        <v>1</v>
      </c>
      <c r="AG193" s="429">
        <v>43101</v>
      </c>
      <c r="AJ193" s="430">
        <v>43181</v>
      </c>
      <c r="AL193" s="424" t="s">
        <v>920</v>
      </c>
      <c r="AO193" s="445"/>
      <c r="AP193" s="454">
        <v>556662</v>
      </c>
      <c r="AQ193" s="431">
        <v>43181</v>
      </c>
      <c r="AT193" s="426"/>
      <c r="AU193" s="426"/>
      <c r="AV193" s="426"/>
      <c r="AY193" s="427" t="s">
        <v>1717</v>
      </c>
      <c r="AZ193" s="373"/>
      <c r="BB193" s="374" t="s">
        <v>1727</v>
      </c>
      <c r="BC193" s="445"/>
      <c r="BE193" s="448">
        <v>0</v>
      </c>
      <c r="BF193" s="449">
        <v>0</v>
      </c>
      <c r="BG193" s="428" t="s">
        <v>1764</v>
      </c>
      <c r="BH193" s="445"/>
      <c r="BI193" s="491"/>
      <c r="BJ193" s="491">
        <v>5</v>
      </c>
      <c r="BK193" s="445" t="s">
        <v>2878</v>
      </c>
      <c r="BL193" s="419" t="s">
        <v>2879</v>
      </c>
      <c r="BM193" s="445"/>
      <c r="BN193" s="419" t="s">
        <v>1765</v>
      </c>
      <c r="BO193" s="419" t="s">
        <v>1765</v>
      </c>
      <c r="BP193" s="419" t="s">
        <v>1765</v>
      </c>
      <c r="BQ193" s="419" t="s">
        <v>1269</v>
      </c>
      <c r="BR193" s="419"/>
      <c r="BS193" s="419"/>
      <c r="BT193" s="445"/>
      <c r="BU193" s="445"/>
      <c r="BV193" s="445"/>
      <c r="BW193" s="445" t="s">
        <v>2019</v>
      </c>
      <c r="BX193" s="445"/>
      <c r="BY193" s="445"/>
    </row>
    <row r="194" spans="1:77" ht="15">
      <c r="A194" s="370" t="s">
        <v>1269</v>
      </c>
      <c r="B194" s="415" t="s">
        <v>177</v>
      </c>
      <c r="C194" s="416" t="s">
        <v>1682</v>
      </c>
      <c r="D194" s="444">
        <v>0</v>
      </c>
      <c r="E194" s="415" t="s">
        <v>1716</v>
      </c>
      <c r="F194" s="444">
        <v>3</v>
      </c>
      <c r="G194" s="415" t="s">
        <v>1661</v>
      </c>
      <c r="H194" s="444">
        <v>40</v>
      </c>
      <c r="I194" s="417" t="s">
        <v>1632</v>
      </c>
      <c r="J194" s="444">
        <v>8.5</v>
      </c>
      <c r="K194" s="444">
        <v>232</v>
      </c>
      <c r="L194" s="444">
        <v>0</v>
      </c>
      <c r="M194" s="444">
        <v>0</v>
      </c>
      <c r="N194" s="444">
        <v>25</v>
      </c>
      <c r="O194" s="444">
        <v>0</v>
      </c>
      <c r="P194" s="444">
        <v>0</v>
      </c>
      <c r="Q194" s="444">
        <v>0</v>
      </c>
      <c r="R194" s="444">
        <v>1</v>
      </c>
      <c r="S194" s="444">
        <v>0</v>
      </c>
      <c r="T194" s="444">
        <v>69</v>
      </c>
      <c r="U194" s="444">
        <v>0</v>
      </c>
      <c r="V194" s="444">
        <v>0</v>
      </c>
      <c r="W194" s="444">
        <v>7</v>
      </c>
      <c r="X194" s="418"/>
      <c r="Y194" s="445"/>
      <c r="Z194" s="420"/>
      <c r="AA194" s="421">
        <v>81.960999999999999</v>
      </c>
      <c r="AB194" s="421">
        <v>29.978000000000002</v>
      </c>
      <c r="AC194" s="454">
        <v>8</v>
      </c>
      <c r="AE194" s="419" t="s">
        <v>2073</v>
      </c>
      <c r="AF194" s="454">
        <v>1</v>
      </c>
      <c r="AG194" s="429">
        <v>43101</v>
      </c>
      <c r="AJ194" s="430">
        <v>43181</v>
      </c>
      <c r="AL194" s="424" t="s">
        <v>1681</v>
      </c>
      <c r="AO194" s="445"/>
      <c r="AP194" s="454">
        <v>556662</v>
      </c>
      <c r="AQ194" s="431">
        <v>43181</v>
      </c>
      <c r="AT194" s="426"/>
      <c r="AU194" s="426"/>
      <c r="AV194" s="426"/>
      <c r="AY194" s="427" t="s">
        <v>1717</v>
      </c>
      <c r="AZ194" s="373"/>
      <c r="BB194" s="374" t="s">
        <v>1727</v>
      </c>
      <c r="BC194" s="445"/>
      <c r="BE194" s="448">
        <v>0</v>
      </c>
      <c r="BF194" s="449">
        <v>0</v>
      </c>
      <c r="BG194" s="428" t="s">
        <v>1764</v>
      </c>
      <c r="BH194" s="445"/>
      <c r="BI194" s="491"/>
      <c r="BJ194" s="491">
        <v>6</v>
      </c>
      <c r="BK194" s="445" t="s">
        <v>2880</v>
      </c>
      <c r="BL194" s="419" t="s">
        <v>2881</v>
      </c>
      <c r="BM194" s="445"/>
      <c r="BN194" s="419" t="s">
        <v>1765</v>
      </c>
      <c r="BO194" s="419" t="s">
        <v>1765</v>
      </c>
      <c r="BP194" s="419" t="s">
        <v>1765</v>
      </c>
      <c r="BQ194" s="419" t="s">
        <v>1269</v>
      </c>
      <c r="BR194" s="419"/>
      <c r="BS194" s="419"/>
      <c r="BT194" s="445"/>
      <c r="BU194" s="445"/>
      <c r="BV194" s="445"/>
      <c r="BW194" s="445" t="s">
        <v>2019</v>
      </c>
      <c r="BX194" s="445"/>
      <c r="BY194" s="445"/>
    </row>
    <row r="195" spans="1:77" ht="15">
      <c r="A195" s="370" t="s">
        <v>1269</v>
      </c>
      <c r="B195" s="415" t="s">
        <v>177</v>
      </c>
      <c r="C195" s="416" t="s">
        <v>1682</v>
      </c>
      <c r="D195" s="444">
        <v>0</v>
      </c>
      <c r="E195" s="415" t="s">
        <v>1716</v>
      </c>
      <c r="F195" s="444">
        <v>3</v>
      </c>
      <c r="G195" s="415" t="s">
        <v>1661</v>
      </c>
      <c r="H195" s="444">
        <v>76</v>
      </c>
      <c r="I195" s="417" t="s">
        <v>1685</v>
      </c>
      <c r="J195" s="444">
        <v>2.6</v>
      </c>
      <c r="K195" s="444">
        <v>145</v>
      </c>
      <c r="L195" s="444">
        <v>0</v>
      </c>
      <c r="M195" s="444">
        <v>0</v>
      </c>
      <c r="N195" s="444">
        <v>8</v>
      </c>
      <c r="O195" s="444">
        <v>0</v>
      </c>
      <c r="P195" s="444">
        <v>0</v>
      </c>
      <c r="Q195" s="444">
        <v>0</v>
      </c>
      <c r="R195" s="444">
        <v>2</v>
      </c>
      <c r="S195" s="444">
        <v>0</v>
      </c>
      <c r="T195" s="444">
        <v>41</v>
      </c>
      <c r="U195" s="444">
        <v>0</v>
      </c>
      <c r="V195" s="444">
        <v>0</v>
      </c>
      <c r="W195" s="444">
        <v>3</v>
      </c>
      <c r="X195" s="418"/>
      <c r="Y195" s="445"/>
      <c r="Z195" s="420"/>
      <c r="AA195" s="421">
        <v>84.944999999999993</v>
      </c>
      <c r="AB195" s="421">
        <v>29.978000000000002</v>
      </c>
      <c r="AC195" s="454">
        <v>4</v>
      </c>
      <c r="AE195" s="419" t="s">
        <v>2075</v>
      </c>
      <c r="AF195" s="454">
        <v>1</v>
      </c>
      <c r="AG195" s="429">
        <v>43101</v>
      </c>
      <c r="AJ195" s="430">
        <v>43181</v>
      </c>
      <c r="AL195" s="424" t="s">
        <v>1015</v>
      </c>
      <c r="AO195" s="445"/>
      <c r="AP195" s="454">
        <v>556662</v>
      </c>
      <c r="AQ195" s="431">
        <v>43181</v>
      </c>
      <c r="AT195" s="426"/>
      <c r="AU195" s="426"/>
      <c r="AV195" s="426"/>
      <c r="AY195" s="427" t="s">
        <v>1717</v>
      </c>
      <c r="AZ195" s="373"/>
      <c r="BB195" s="374" t="s">
        <v>1727</v>
      </c>
      <c r="BC195" s="445"/>
      <c r="BE195" s="448">
        <v>0</v>
      </c>
      <c r="BF195" s="449">
        <v>0</v>
      </c>
      <c r="BG195" s="428" t="s">
        <v>1764</v>
      </c>
      <c r="BH195" s="445"/>
      <c r="BI195" s="491"/>
      <c r="BJ195" s="491">
        <v>7</v>
      </c>
      <c r="BK195" s="445" t="s">
        <v>2882</v>
      </c>
      <c r="BL195" s="419" t="s">
        <v>2883</v>
      </c>
      <c r="BM195" s="445"/>
      <c r="BN195" s="419" t="s">
        <v>1765</v>
      </c>
      <c r="BO195" s="419" t="s">
        <v>1765</v>
      </c>
      <c r="BP195" s="419" t="s">
        <v>1765</v>
      </c>
      <c r="BQ195" s="419" t="s">
        <v>1269</v>
      </c>
      <c r="BR195" s="419"/>
      <c r="BS195" s="419"/>
      <c r="BT195" s="445"/>
      <c r="BU195" s="445"/>
      <c r="BV195" s="445"/>
      <c r="BW195" s="445" t="s">
        <v>2019</v>
      </c>
      <c r="BX195" s="445"/>
      <c r="BY195" s="445"/>
    </row>
    <row r="196" spans="1:77" ht="15">
      <c r="A196" s="370" t="s">
        <v>1269</v>
      </c>
      <c r="B196" s="415" t="s">
        <v>177</v>
      </c>
      <c r="C196" s="416" t="s">
        <v>1682</v>
      </c>
      <c r="D196" s="444">
        <v>0</v>
      </c>
      <c r="E196" s="415" t="s">
        <v>1716</v>
      </c>
      <c r="F196" s="444">
        <v>3</v>
      </c>
      <c r="G196" s="415" t="s">
        <v>1661</v>
      </c>
      <c r="H196" s="444">
        <v>23</v>
      </c>
      <c r="I196" s="417" t="s">
        <v>1664</v>
      </c>
      <c r="J196" s="444">
        <v>2.7</v>
      </c>
      <c r="K196" s="444">
        <v>89</v>
      </c>
      <c r="L196" s="444">
        <v>0</v>
      </c>
      <c r="M196" s="444">
        <v>0</v>
      </c>
      <c r="N196" s="444">
        <v>9</v>
      </c>
      <c r="O196" s="444">
        <v>0</v>
      </c>
      <c r="P196" s="444">
        <v>0</v>
      </c>
      <c r="Q196" s="444">
        <v>0</v>
      </c>
      <c r="R196" s="444">
        <v>0</v>
      </c>
      <c r="S196" s="444">
        <v>0</v>
      </c>
      <c r="T196" s="444">
        <v>0</v>
      </c>
      <c r="U196" s="444">
        <v>0</v>
      </c>
      <c r="V196" s="444">
        <v>0</v>
      </c>
      <c r="W196" s="444">
        <v>50</v>
      </c>
      <c r="X196" s="418"/>
      <c r="Y196" s="445"/>
      <c r="Z196" s="420"/>
      <c r="AA196" s="421">
        <v>72.308999999999997</v>
      </c>
      <c r="AB196" s="421">
        <v>29.978000000000002</v>
      </c>
      <c r="AC196" s="454">
        <v>4</v>
      </c>
      <c r="AE196" s="419" t="s">
        <v>2074</v>
      </c>
      <c r="AF196" s="454">
        <v>1</v>
      </c>
      <c r="AG196" s="429">
        <v>43101</v>
      </c>
      <c r="AJ196" s="430">
        <v>43181</v>
      </c>
      <c r="AL196" s="424" t="s">
        <v>920</v>
      </c>
      <c r="AO196" s="445"/>
      <c r="AP196" s="454">
        <v>556662</v>
      </c>
      <c r="AQ196" s="431">
        <v>43181</v>
      </c>
      <c r="AT196" s="426"/>
      <c r="AU196" s="426"/>
      <c r="AV196" s="426"/>
      <c r="AY196" s="427" t="s">
        <v>1717</v>
      </c>
      <c r="AZ196" s="373"/>
      <c r="BB196" s="374" t="s">
        <v>1727</v>
      </c>
      <c r="BC196" s="445"/>
      <c r="BE196" s="448">
        <v>0</v>
      </c>
      <c r="BF196" s="449">
        <v>0</v>
      </c>
      <c r="BG196" s="428" t="s">
        <v>1764</v>
      </c>
      <c r="BH196" s="445"/>
      <c r="BI196" s="491"/>
      <c r="BJ196" s="491">
        <v>4</v>
      </c>
      <c r="BK196" s="445" t="s">
        <v>56</v>
      </c>
      <c r="BL196" s="419" t="s">
        <v>2884</v>
      </c>
      <c r="BM196" s="445"/>
      <c r="BN196" s="419" t="s">
        <v>1765</v>
      </c>
      <c r="BO196" s="419" t="s">
        <v>1765</v>
      </c>
      <c r="BP196" s="419" t="s">
        <v>1765</v>
      </c>
      <c r="BQ196" s="419" t="s">
        <v>1269</v>
      </c>
      <c r="BR196" s="419"/>
      <c r="BS196" s="419"/>
      <c r="BT196" s="445"/>
      <c r="BU196" s="445"/>
      <c r="BV196" s="445"/>
      <c r="BW196" s="445" t="s">
        <v>2019</v>
      </c>
      <c r="BX196" s="445"/>
      <c r="BY196" s="445"/>
    </row>
    <row r="197" spans="1:77" ht="15">
      <c r="A197" s="370" t="s">
        <v>1269</v>
      </c>
      <c r="B197" s="415" t="s">
        <v>177</v>
      </c>
      <c r="C197" s="416" t="s">
        <v>1682</v>
      </c>
      <c r="D197" s="444">
        <v>0</v>
      </c>
      <c r="E197" s="415" t="s">
        <v>1716</v>
      </c>
      <c r="F197" s="444">
        <v>3</v>
      </c>
      <c r="G197" s="415" t="s">
        <v>1661</v>
      </c>
      <c r="H197" s="444">
        <v>23</v>
      </c>
      <c r="I197" s="417" t="s">
        <v>1664</v>
      </c>
      <c r="J197" s="444">
        <v>2.7</v>
      </c>
      <c r="K197" s="444">
        <v>89</v>
      </c>
      <c r="L197" s="444">
        <v>0</v>
      </c>
      <c r="M197" s="444">
        <v>0</v>
      </c>
      <c r="N197" s="444">
        <v>9</v>
      </c>
      <c r="O197" s="444">
        <v>0</v>
      </c>
      <c r="P197" s="444">
        <v>0</v>
      </c>
      <c r="Q197" s="444">
        <v>0</v>
      </c>
      <c r="R197" s="444">
        <v>0</v>
      </c>
      <c r="S197" s="444">
        <v>0</v>
      </c>
      <c r="T197" s="444">
        <v>0</v>
      </c>
      <c r="U197" s="444">
        <v>0</v>
      </c>
      <c r="V197" s="444">
        <v>0</v>
      </c>
      <c r="W197" s="444">
        <v>50</v>
      </c>
      <c r="X197" s="418"/>
      <c r="Y197" s="445"/>
      <c r="Z197" s="420"/>
      <c r="AA197" s="421">
        <v>72.308999999999997</v>
      </c>
      <c r="AB197" s="421">
        <v>29.978000000000002</v>
      </c>
      <c r="AC197" s="454">
        <v>4</v>
      </c>
      <c r="AE197" s="419" t="s">
        <v>2074</v>
      </c>
      <c r="AF197" s="454">
        <v>1</v>
      </c>
      <c r="AG197" s="429">
        <v>43101</v>
      </c>
      <c r="AJ197" s="430">
        <v>43181</v>
      </c>
      <c r="AL197" s="424" t="s">
        <v>920</v>
      </c>
      <c r="AO197" s="445"/>
      <c r="AP197" s="454">
        <v>556662</v>
      </c>
      <c r="AQ197" s="431">
        <v>43181</v>
      </c>
      <c r="AT197" s="426"/>
      <c r="AU197" s="426"/>
      <c r="AV197" s="426"/>
      <c r="AY197" s="427" t="s">
        <v>1717</v>
      </c>
      <c r="AZ197" s="373"/>
      <c r="BB197" s="374" t="s">
        <v>1727</v>
      </c>
      <c r="BC197" s="445"/>
      <c r="BE197" s="448">
        <v>0</v>
      </c>
      <c r="BF197" s="449">
        <v>0</v>
      </c>
      <c r="BG197" s="428" t="s">
        <v>1764</v>
      </c>
      <c r="BH197" s="445"/>
      <c r="BI197" s="491"/>
      <c r="BJ197" s="491">
        <v>4</v>
      </c>
      <c r="BK197" s="445" t="s">
        <v>56</v>
      </c>
      <c r="BL197" s="419" t="s">
        <v>2884</v>
      </c>
      <c r="BM197" s="445"/>
      <c r="BN197" s="419" t="s">
        <v>1765</v>
      </c>
      <c r="BO197" s="419" t="s">
        <v>1765</v>
      </c>
      <c r="BP197" s="419" t="s">
        <v>1765</v>
      </c>
      <c r="BQ197" s="419" t="s">
        <v>1269</v>
      </c>
      <c r="BR197" s="419"/>
      <c r="BS197" s="419"/>
      <c r="BT197" s="445"/>
      <c r="BU197" s="445"/>
      <c r="BV197" s="445"/>
      <c r="BW197" s="445" t="s">
        <v>2076</v>
      </c>
      <c r="BX197" s="445"/>
      <c r="BY197" s="445"/>
    </row>
    <row r="198" spans="1:77" ht="15">
      <c r="A198" s="370" t="s">
        <v>31</v>
      </c>
      <c r="B198" s="415" t="s">
        <v>177</v>
      </c>
      <c r="C198" s="416" t="s">
        <v>31</v>
      </c>
      <c r="D198" s="444">
        <v>0</v>
      </c>
      <c r="E198" s="415" t="s">
        <v>1716</v>
      </c>
      <c r="F198" s="444">
        <v>2</v>
      </c>
      <c r="G198" s="415" t="s">
        <v>1661</v>
      </c>
      <c r="H198" s="444">
        <v>52</v>
      </c>
      <c r="I198" s="417" t="s">
        <v>1664</v>
      </c>
      <c r="J198" s="444">
        <v>4</v>
      </c>
      <c r="K198" s="444">
        <v>1276</v>
      </c>
      <c r="L198" s="444">
        <v>0</v>
      </c>
      <c r="M198" s="444">
        <v>10</v>
      </c>
      <c r="N198" s="444">
        <v>477</v>
      </c>
      <c r="O198" s="444">
        <v>0</v>
      </c>
      <c r="P198" s="444">
        <v>0</v>
      </c>
      <c r="Q198" s="444">
        <v>20</v>
      </c>
      <c r="R198" s="444">
        <v>100</v>
      </c>
      <c r="S198" s="444">
        <v>34</v>
      </c>
      <c r="T198" s="444">
        <v>471</v>
      </c>
      <c r="U198" s="444">
        <v>9</v>
      </c>
      <c r="V198" s="444">
        <v>16</v>
      </c>
      <c r="W198" s="444">
        <v>27</v>
      </c>
      <c r="X198" s="418"/>
      <c r="Y198" s="445"/>
      <c r="Z198" s="420"/>
      <c r="AA198" s="421">
        <v>54.933</v>
      </c>
      <c r="AB198" s="421">
        <v>31.11</v>
      </c>
      <c r="AC198" s="454">
        <v>0</v>
      </c>
      <c r="AE198" s="419" t="s">
        <v>2077</v>
      </c>
      <c r="AF198" s="454">
        <v>1</v>
      </c>
      <c r="AG198" s="429">
        <v>43101</v>
      </c>
      <c r="AJ198" s="430">
        <v>43187</v>
      </c>
      <c r="AL198" s="424" t="s">
        <v>913</v>
      </c>
      <c r="AO198" s="445"/>
      <c r="AP198" s="454">
        <v>556619</v>
      </c>
      <c r="AQ198" s="431">
        <v>43077</v>
      </c>
      <c r="AT198" s="426"/>
      <c r="AU198" s="426"/>
      <c r="AV198" s="426"/>
      <c r="AY198" s="427" t="s">
        <v>1717</v>
      </c>
      <c r="AZ198" s="373"/>
      <c r="BB198" s="374" t="s">
        <v>1727</v>
      </c>
      <c r="BC198" s="445"/>
      <c r="BE198" s="448">
        <v>5</v>
      </c>
      <c r="BF198" s="449">
        <v>40</v>
      </c>
      <c r="BG198" s="428" t="s">
        <v>1764</v>
      </c>
      <c r="BH198" s="445"/>
      <c r="BI198" s="491"/>
      <c r="BJ198" s="491">
        <v>8</v>
      </c>
      <c r="BK198" s="445" t="s">
        <v>180</v>
      </c>
      <c r="BL198" s="419" t="s">
        <v>2885</v>
      </c>
      <c r="BM198" s="445"/>
      <c r="BN198" s="419" t="s">
        <v>1765</v>
      </c>
      <c r="BO198" s="419" t="s">
        <v>1765</v>
      </c>
      <c r="BP198" s="419" t="s">
        <v>1765</v>
      </c>
      <c r="BQ198" s="419" t="s">
        <v>31</v>
      </c>
      <c r="BR198" s="419"/>
      <c r="BS198" s="419"/>
      <c r="BT198" s="445"/>
      <c r="BU198" s="445"/>
      <c r="BV198" s="445"/>
      <c r="BW198" s="445" t="s">
        <v>2076</v>
      </c>
      <c r="BX198" s="445"/>
      <c r="BY198" s="445"/>
    </row>
    <row r="199" spans="1:77" ht="15">
      <c r="A199" s="370" t="s">
        <v>31</v>
      </c>
      <c r="B199" s="415" t="s">
        <v>177</v>
      </c>
      <c r="C199" s="416" t="s">
        <v>31</v>
      </c>
      <c r="D199" s="444">
        <v>0</v>
      </c>
      <c r="E199" s="415" t="s">
        <v>1716</v>
      </c>
      <c r="F199" s="444">
        <v>2</v>
      </c>
      <c r="G199" s="415" t="s">
        <v>1661</v>
      </c>
      <c r="H199" s="444">
        <v>52</v>
      </c>
      <c r="I199" s="417" t="s">
        <v>1664</v>
      </c>
      <c r="J199" s="444">
        <v>4</v>
      </c>
      <c r="K199" s="444">
        <v>1276</v>
      </c>
      <c r="L199" s="444">
        <v>0</v>
      </c>
      <c r="M199" s="444">
        <v>10</v>
      </c>
      <c r="N199" s="444">
        <v>477</v>
      </c>
      <c r="O199" s="444">
        <v>0</v>
      </c>
      <c r="P199" s="444">
        <v>0</v>
      </c>
      <c r="Q199" s="444">
        <v>20</v>
      </c>
      <c r="R199" s="444">
        <v>100</v>
      </c>
      <c r="S199" s="444">
        <v>34</v>
      </c>
      <c r="T199" s="444">
        <v>471</v>
      </c>
      <c r="U199" s="444">
        <v>9</v>
      </c>
      <c r="V199" s="444">
        <v>16</v>
      </c>
      <c r="W199" s="444">
        <v>27</v>
      </c>
      <c r="X199" s="418"/>
      <c r="Y199" s="445"/>
      <c r="Z199" s="420"/>
      <c r="AA199" s="421">
        <v>54.933</v>
      </c>
      <c r="AB199" s="421">
        <v>31.11</v>
      </c>
      <c r="AC199" s="454">
        <v>0</v>
      </c>
      <c r="AE199" s="419" t="s">
        <v>2077</v>
      </c>
      <c r="AF199" s="454">
        <v>1</v>
      </c>
      <c r="AG199" s="429">
        <v>43101</v>
      </c>
      <c r="AJ199" s="430">
        <v>43187</v>
      </c>
      <c r="AL199" s="424" t="s">
        <v>913</v>
      </c>
      <c r="AO199" s="445"/>
      <c r="AP199" s="454">
        <v>556619</v>
      </c>
      <c r="AQ199" s="431">
        <v>43077</v>
      </c>
      <c r="AT199" s="426"/>
      <c r="AU199" s="426"/>
      <c r="AV199" s="426"/>
      <c r="AY199" s="427" t="s">
        <v>1717</v>
      </c>
      <c r="AZ199" s="373"/>
      <c r="BB199" s="374" t="s">
        <v>1727</v>
      </c>
      <c r="BC199" s="445"/>
      <c r="BE199" s="448">
        <v>5</v>
      </c>
      <c r="BF199" s="449">
        <v>40</v>
      </c>
      <c r="BG199" s="428" t="s">
        <v>1764</v>
      </c>
      <c r="BH199" s="445"/>
      <c r="BI199" s="491"/>
      <c r="BJ199" s="491">
        <v>8</v>
      </c>
      <c r="BK199" s="445" t="s">
        <v>180</v>
      </c>
      <c r="BL199" s="419" t="s">
        <v>2885</v>
      </c>
      <c r="BM199" s="445"/>
      <c r="BN199" s="419" t="s">
        <v>1765</v>
      </c>
      <c r="BO199" s="419" t="s">
        <v>1765</v>
      </c>
      <c r="BP199" s="419" t="s">
        <v>1765</v>
      </c>
      <c r="BQ199" s="419" t="s">
        <v>31</v>
      </c>
      <c r="BR199" s="419"/>
      <c r="BS199" s="419"/>
      <c r="BT199" s="445"/>
      <c r="BU199" s="445"/>
      <c r="BV199" s="445"/>
      <c r="BW199" s="445" t="s">
        <v>2076</v>
      </c>
      <c r="BX199" s="445"/>
      <c r="BY199" s="445"/>
    </row>
    <row r="200" spans="1:77" ht="15">
      <c r="A200" s="370" t="s">
        <v>1783</v>
      </c>
      <c r="B200" s="415" t="s">
        <v>296</v>
      </c>
      <c r="C200" s="416" t="s">
        <v>1784</v>
      </c>
      <c r="D200" s="444">
        <v>0</v>
      </c>
      <c r="E200" s="415" t="s">
        <v>1749</v>
      </c>
      <c r="F200" s="444">
        <v>3</v>
      </c>
      <c r="G200" s="415" t="s">
        <v>1750</v>
      </c>
      <c r="H200" s="444">
        <v>96</v>
      </c>
      <c r="I200" s="417" t="s">
        <v>1684</v>
      </c>
      <c r="J200" s="444">
        <v>5.6</v>
      </c>
      <c r="K200" s="444">
        <v>0</v>
      </c>
      <c r="L200" s="444"/>
      <c r="M200" s="444">
        <v>0</v>
      </c>
      <c r="N200" s="444">
        <v>0</v>
      </c>
      <c r="O200" s="444"/>
      <c r="P200" s="444"/>
      <c r="Q200" s="444">
        <v>58.33</v>
      </c>
      <c r="R200" s="444"/>
      <c r="S200" s="444">
        <v>0</v>
      </c>
      <c r="T200" s="444">
        <v>700</v>
      </c>
      <c r="U200" s="444"/>
      <c r="V200" s="444">
        <v>0</v>
      </c>
      <c r="W200" s="444">
        <v>0</v>
      </c>
      <c r="X200" s="418"/>
      <c r="Y200" s="445"/>
      <c r="Z200" s="420"/>
      <c r="AA200" s="421">
        <v>102.11</v>
      </c>
      <c r="AB200" s="421"/>
      <c r="AC200" s="454">
        <v>23</v>
      </c>
      <c r="AE200" s="419" t="s">
        <v>2078</v>
      </c>
      <c r="AF200" s="454">
        <v>1</v>
      </c>
      <c r="AG200" s="429">
        <v>43101</v>
      </c>
      <c r="AJ200" s="430">
        <v>43160</v>
      </c>
      <c r="AL200" s="424" t="s">
        <v>1027</v>
      </c>
      <c r="AO200" s="445"/>
      <c r="AP200" s="454">
        <v>556627</v>
      </c>
      <c r="AQ200" s="431">
        <v>43102</v>
      </c>
      <c r="AR200" s="370">
        <v>0.5</v>
      </c>
      <c r="AT200" s="426"/>
      <c r="AU200" s="426"/>
      <c r="AV200" s="426"/>
      <c r="AY200" s="427" t="s">
        <v>1722</v>
      </c>
      <c r="AZ200" s="373"/>
      <c r="BB200" s="374" t="s">
        <v>1728</v>
      </c>
      <c r="BC200" s="445"/>
      <c r="BE200" s="448"/>
      <c r="BF200" s="449"/>
      <c r="BG200" s="428"/>
      <c r="BH200" s="445"/>
      <c r="BI200" s="491"/>
      <c r="BJ200" s="491">
        <v>14</v>
      </c>
      <c r="BK200" s="445" t="s">
        <v>2886</v>
      </c>
      <c r="BL200" s="419" t="s">
        <v>2887</v>
      </c>
      <c r="BM200" s="445"/>
      <c r="BN200" s="419"/>
      <c r="BO200" s="419"/>
      <c r="BP200" s="419"/>
      <c r="BQ200" s="419" t="s">
        <v>1783</v>
      </c>
      <c r="BR200" s="419">
        <v>5</v>
      </c>
      <c r="BS200" s="419"/>
      <c r="BT200" s="445"/>
      <c r="BU200" s="445"/>
      <c r="BV200" s="445"/>
      <c r="BW200" s="445" t="s">
        <v>2076</v>
      </c>
      <c r="BX200" s="445"/>
      <c r="BY200" s="445"/>
    </row>
    <row r="201" spans="1:77" ht="15">
      <c r="A201" s="370" t="s">
        <v>31</v>
      </c>
      <c r="B201" s="415" t="s">
        <v>216</v>
      </c>
      <c r="C201" s="416" t="s">
        <v>31</v>
      </c>
      <c r="D201" s="444">
        <v>0</v>
      </c>
      <c r="E201" s="415" t="s">
        <v>1716</v>
      </c>
      <c r="F201" s="444">
        <v>2</v>
      </c>
      <c r="G201" s="415" t="s">
        <v>1661</v>
      </c>
      <c r="H201" s="444">
        <v>94</v>
      </c>
      <c r="I201" s="417" t="s">
        <v>1664</v>
      </c>
      <c r="J201" s="444">
        <v>2.2000000000000002</v>
      </c>
      <c r="K201" s="444">
        <v>743</v>
      </c>
      <c r="L201" s="444">
        <v>0</v>
      </c>
      <c r="M201" s="444">
        <v>10</v>
      </c>
      <c r="N201" s="444">
        <v>301</v>
      </c>
      <c r="O201" s="444">
        <v>0</v>
      </c>
      <c r="P201" s="444">
        <v>0</v>
      </c>
      <c r="Q201" s="444">
        <v>20</v>
      </c>
      <c r="R201" s="444">
        <v>58</v>
      </c>
      <c r="S201" s="444">
        <v>8</v>
      </c>
      <c r="T201" s="444">
        <v>177</v>
      </c>
      <c r="U201" s="444">
        <v>19</v>
      </c>
      <c r="V201" s="444">
        <v>6</v>
      </c>
      <c r="W201" s="444">
        <v>120</v>
      </c>
      <c r="X201" s="418"/>
      <c r="Y201" s="445"/>
      <c r="Z201" s="420"/>
      <c r="AA201" s="421">
        <v>66.494</v>
      </c>
      <c r="AB201" s="421">
        <v>28.722000000000001</v>
      </c>
      <c r="AC201" s="454">
        <v>0</v>
      </c>
      <c r="AE201" s="419" t="s">
        <v>2079</v>
      </c>
      <c r="AF201" s="454">
        <v>1</v>
      </c>
      <c r="AG201" s="429">
        <v>43101</v>
      </c>
      <c r="AJ201" s="430">
        <v>43160</v>
      </c>
      <c r="AL201" s="424" t="s">
        <v>929</v>
      </c>
      <c r="AO201" s="445"/>
      <c r="AP201" s="454">
        <v>556618</v>
      </c>
      <c r="AQ201" s="431">
        <v>43077</v>
      </c>
      <c r="AT201" s="426"/>
      <c r="AU201" s="426"/>
      <c r="AV201" s="426"/>
      <c r="AY201" s="427" t="s">
        <v>1720</v>
      </c>
      <c r="AZ201" s="373"/>
      <c r="BB201" s="374" t="s">
        <v>1726</v>
      </c>
      <c r="BC201" s="445"/>
      <c r="BE201" s="448">
        <v>5</v>
      </c>
      <c r="BF201" s="449">
        <v>40</v>
      </c>
      <c r="BG201" s="428" t="s">
        <v>1764</v>
      </c>
      <c r="BH201" s="445"/>
      <c r="BI201" s="491"/>
      <c r="BJ201" s="491">
        <v>10</v>
      </c>
      <c r="BK201" s="445" t="s">
        <v>372</v>
      </c>
      <c r="BL201" s="419" t="s">
        <v>2888</v>
      </c>
      <c r="BM201" s="445"/>
      <c r="BN201" s="419" t="s">
        <v>1765</v>
      </c>
      <c r="BO201" s="419" t="s">
        <v>1765</v>
      </c>
      <c r="BP201" s="419" t="s">
        <v>1765</v>
      </c>
      <c r="BQ201" s="419" t="s">
        <v>31</v>
      </c>
      <c r="BR201" s="419"/>
      <c r="BS201" s="419"/>
      <c r="BT201" s="445"/>
      <c r="BU201" s="445"/>
      <c r="BV201" s="445"/>
      <c r="BW201" s="445" t="s">
        <v>2080</v>
      </c>
      <c r="BX201" s="445"/>
      <c r="BY201" s="445"/>
    </row>
    <row r="202" spans="1:77" ht="15">
      <c r="A202" s="370" t="s">
        <v>1783</v>
      </c>
      <c r="B202" s="415" t="s">
        <v>85</v>
      </c>
      <c r="C202" s="416" t="s">
        <v>2081</v>
      </c>
      <c r="D202" s="444">
        <v>0</v>
      </c>
      <c r="E202" s="415" t="s">
        <v>1749</v>
      </c>
      <c r="F202" s="444">
        <v>3</v>
      </c>
      <c r="G202" s="415" t="s">
        <v>1750</v>
      </c>
      <c r="H202" s="444">
        <v>93</v>
      </c>
      <c r="I202" s="417" t="s">
        <v>1632</v>
      </c>
      <c r="J202" s="444">
        <v>3</v>
      </c>
      <c r="K202" s="444">
        <v>0</v>
      </c>
      <c r="L202" s="444"/>
      <c r="M202" s="444">
        <v>0</v>
      </c>
      <c r="N202" s="444">
        <v>140</v>
      </c>
      <c r="O202" s="444"/>
      <c r="P202" s="444"/>
      <c r="Q202" s="444">
        <v>0</v>
      </c>
      <c r="R202" s="444"/>
      <c r="S202" s="444">
        <v>0</v>
      </c>
      <c r="T202" s="444">
        <v>0</v>
      </c>
      <c r="U202" s="444"/>
      <c r="V202" s="444">
        <v>0</v>
      </c>
      <c r="W202" s="444">
        <v>0</v>
      </c>
      <c r="X202" s="418"/>
      <c r="Y202" s="445"/>
      <c r="Z202" s="420"/>
      <c r="AA202" s="421">
        <v>229.37</v>
      </c>
      <c r="AB202" s="421"/>
      <c r="AC202" s="454">
        <v>23</v>
      </c>
      <c r="AE202" s="419" t="s">
        <v>2082</v>
      </c>
      <c r="AF202" s="454">
        <v>1</v>
      </c>
      <c r="AG202" s="429">
        <v>43101</v>
      </c>
      <c r="AJ202" s="430">
        <v>43192</v>
      </c>
      <c r="AL202" s="424" t="s">
        <v>1008</v>
      </c>
      <c r="AO202" s="445"/>
      <c r="AP202" s="454">
        <v>556667</v>
      </c>
      <c r="AQ202" s="431">
        <v>43192</v>
      </c>
      <c r="AR202" s="370">
        <v>0.3</v>
      </c>
      <c r="AT202" s="426"/>
      <c r="AU202" s="426"/>
      <c r="AV202" s="426"/>
      <c r="AY202" s="427" t="s">
        <v>1717</v>
      </c>
      <c r="AZ202" s="373"/>
      <c r="BB202" s="374" t="s">
        <v>1727</v>
      </c>
      <c r="BC202" s="445"/>
      <c r="BE202" s="448"/>
      <c r="BF202" s="449"/>
      <c r="BG202" s="428"/>
      <c r="BH202" s="445"/>
      <c r="BI202" s="491"/>
      <c r="BJ202" s="491">
        <v>2</v>
      </c>
      <c r="BK202" s="445" t="s">
        <v>153</v>
      </c>
      <c r="BL202" s="419" t="s">
        <v>2889</v>
      </c>
      <c r="BM202" s="445"/>
      <c r="BN202" s="419"/>
      <c r="BO202" s="419"/>
      <c r="BP202" s="419"/>
      <c r="BQ202" s="419" t="s">
        <v>1783</v>
      </c>
      <c r="BR202" s="419">
        <v>2</v>
      </c>
      <c r="BS202" s="419"/>
      <c r="BT202" s="445"/>
      <c r="BU202" s="445"/>
      <c r="BV202" s="445"/>
      <c r="BW202" s="445" t="s">
        <v>2080</v>
      </c>
      <c r="BX202" s="445"/>
      <c r="BY202" s="445"/>
    </row>
    <row r="203" spans="1:77" ht="15">
      <c r="A203" s="370" t="s">
        <v>1783</v>
      </c>
      <c r="B203" s="415" t="s">
        <v>85</v>
      </c>
      <c r="C203" s="416" t="s">
        <v>2081</v>
      </c>
      <c r="D203" s="444">
        <v>0</v>
      </c>
      <c r="E203" s="415" t="s">
        <v>1749</v>
      </c>
      <c r="F203" s="444">
        <v>3</v>
      </c>
      <c r="G203" s="415" t="s">
        <v>1750</v>
      </c>
      <c r="H203" s="444">
        <v>92</v>
      </c>
      <c r="I203" s="417" t="s">
        <v>1659</v>
      </c>
      <c r="J203" s="444">
        <v>1.5</v>
      </c>
      <c r="K203" s="444">
        <v>0</v>
      </c>
      <c r="L203" s="444"/>
      <c r="M203" s="444">
        <v>0</v>
      </c>
      <c r="N203" s="444">
        <v>100</v>
      </c>
      <c r="O203" s="444"/>
      <c r="P203" s="444"/>
      <c r="Q203" s="444">
        <v>0</v>
      </c>
      <c r="R203" s="444"/>
      <c r="S203" s="444">
        <v>0</v>
      </c>
      <c r="T203" s="444">
        <v>0</v>
      </c>
      <c r="U203" s="444"/>
      <c r="V203" s="444">
        <v>0</v>
      </c>
      <c r="W203" s="444">
        <v>0</v>
      </c>
      <c r="X203" s="418"/>
      <c r="Y203" s="445"/>
      <c r="Z203" s="420"/>
      <c r="AA203" s="421">
        <v>204.25</v>
      </c>
      <c r="AB203" s="421"/>
      <c r="AC203" s="454">
        <v>23</v>
      </c>
      <c r="AE203" s="419" t="s">
        <v>2083</v>
      </c>
      <c r="AF203" s="454">
        <v>1</v>
      </c>
      <c r="AG203" s="429">
        <v>43101</v>
      </c>
      <c r="AJ203" s="430">
        <v>43192</v>
      </c>
      <c r="AL203" s="424" t="s">
        <v>1008</v>
      </c>
      <c r="AO203" s="445"/>
      <c r="AP203" s="454">
        <v>556667</v>
      </c>
      <c r="AQ203" s="431">
        <v>43192</v>
      </c>
      <c r="AR203" s="370">
        <v>0.3</v>
      </c>
      <c r="AT203" s="426"/>
      <c r="AU203" s="426"/>
      <c r="AV203" s="426"/>
      <c r="AY203" s="427" t="s">
        <v>1717</v>
      </c>
      <c r="AZ203" s="373"/>
      <c r="BB203" s="374" t="s">
        <v>1727</v>
      </c>
      <c r="BC203" s="445"/>
      <c r="BE203" s="448"/>
      <c r="BF203" s="449"/>
      <c r="BG203" s="428"/>
      <c r="BH203" s="445"/>
      <c r="BI203" s="491"/>
      <c r="BJ203" s="491">
        <v>4</v>
      </c>
      <c r="BK203" s="445" t="s">
        <v>148</v>
      </c>
      <c r="BL203" s="419" t="s">
        <v>2890</v>
      </c>
      <c r="BM203" s="445"/>
      <c r="BN203" s="419"/>
      <c r="BO203" s="419"/>
      <c r="BP203" s="419"/>
      <c r="BQ203" s="419" t="s">
        <v>1783</v>
      </c>
      <c r="BR203" s="419">
        <v>2</v>
      </c>
      <c r="BS203" s="419"/>
      <c r="BT203" s="445"/>
      <c r="BU203" s="445"/>
      <c r="BV203" s="445"/>
      <c r="BW203" s="445" t="s">
        <v>2080</v>
      </c>
      <c r="BX203" s="445"/>
      <c r="BY203" s="445"/>
    </row>
    <row r="204" spans="1:77" ht="15">
      <c r="A204" s="370" t="s">
        <v>1783</v>
      </c>
      <c r="B204" s="415" t="s">
        <v>85</v>
      </c>
      <c r="C204" s="416" t="s">
        <v>2081</v>
      </c>
      <c r="D204" s="444">
        <v>0</v>
      </c>
      <c r="E204" s="415" t="s">
        <v>1749</v>
      </c>
      <c r="F204" s="444">
        <v>3</v>
      </c>
      <c r="G204" s="415" t="s">
        <v>1750</v>
      </c>
      <c r="H204" s="444">
        <v>93</v>
      </c>
      <c r="I204" s="417" t="s">
        <v>2084</v>
      </c>
      <c r="J204" s="444">
        <v>0.7</v>
      </c>
      <c r="K204" s="444">
        <v>0</v>
      </c>
      <c r="L204" s="444"/>
      <c r="M204" s="444">
        <v>0</v>
      </c>
      <c r="N204" s="444">
        <v>120</v>
      </c>
      <c r="O204" s="444"/>
      <c r="P204" s="444"/>
      <c r="Q204" s="444">
        <v>0</v>
      </c>
      <c r="R204" s="444"/>
      <c r="S204" s="444">
        <v>0</v>
      </c>
      <c r="T204" s="444">
        <v>0</v>
      </c>
      <c r="U204" s="444"/>
      <c r="V204" s="444">
        <v>0</v>
      </c>
      <c r="W204" s="444">
        <v>0</v>
      </c>
      <c r="X204" s="418"/>
      <c r="Y204" s="445"/>
      <c r="Z204" s="420"/>
      <c r="AA204" s="421">
        <v>185.65</v>
      </c>
      <c r="AB204" s="421"/>
      <c r="AC204" s="454">
        <v>23</v>
      </c>
      <c r="AE204" s="419" t="s">
        <v>2085</v>
      </c>
      <c r="AF204" s="454">
        <v>1</v>
      </c>
      <c r="AG204" s="429">
        <v>43101</v>
      </c>
      <c r="AJ204" s="430">
        <v>43192</v>
      </c>
      <c r="AL204" s="424" t="s">
        <v>1008</v>
      </c>
      <c r="AO204" s="445"/>
      <c r="AP204" s="454">
        <v>556667</v>
      </c>
      <c r="AQ204" s="431">
        <v>43192</v>
      </c>
      <c r="AR204" s="370">
        <v>0.3</v>
      </c>
      <c r="AT204" s="426"/>
      <c r="AU204" s="426"/>
      <c r="AV204" s="426"/>
      <c r="AY204" s="427" t="s">
        <v>1717</v>
      </c>
      <c r="AZ204" s="373"/>
      <c r="BB204" s="374" t="s">
        <v>1727</v>
      </c>
      <c r="BC204" s="445"/>
      <c r="BE204" s="448"/>
      <c r="BF204" s="449"/>
      <c r="BG204" s="428"/>
      <c r="BH204" s="445"/>
      <c r="BI204" s="491"/>
      <c r="BJ204" s="491">
        <v>3</v>
      </c>
      <c r="BK204" s="445" t="s">
        <v>2891</v>
      </c>
      <c r="BL204" s="419" t="s">
        <v>2892</v>
      </c>
      <c r="BM204" s="445"/>
      <c r="BN204" s="419"/>
      <c r="BO204" s="419"/>
      <c r="BP204" s="419"/>
      <c r="BQ204" s="419" t="s">
        <v>1783</v>
      </c>
      <c r="BR204" s="419">
        <v>2</v>
      </c>
      <c r="BS204" s="419"/>
      <c r="BT204" s="445"/>
      <c r="BU204" s="445"/>
      <c r="BV204" s="445"/>
      <c r="BW204" s="445" t="s">
        <v>2080</v>
      </c>
      <c r="BX204" s="445"/>
      <c r="BY204" s="445"/>
    </row>
    <row r="205" spans="1:77" ht="15">
      <c r="A205" s="370" t="s">
        <v>1783</v>
      </c>
      <c r="B205" s="415" t="s">
        <v>85</v>
      </c>
      <c r="C205" s="416" t="s">
        <v>1784</v>
      </c>
      <c r="D205" s="444">
        <v>0</v>
      </c>
      <c r="E205" s="415" t="s">
        <v>1749</v>
      </c>
      <c r="F205" s="444">
        <v>3</v>
      </c>
      <c r="G205" s="415" t="s">
        <v>1750</v>
      </c>
      <c r="H205" s="444">
        <v>93</v>
      </c>
      <c r="I205" s="417" t="s">
        <v>2086</v>
      </c>
      <c r="J205" s="444">
        <v>1.7</v>
      </c>
      <c r="K205" s="444">
        <v>0</v>
      </c>
      <c r="L205" s="444"/>
      <c r="M205" s="444">
        <v>0</v>
      </c>
      <c r="N205" s="444">
        <v>90</v>
      </c>
      <c r="O205" s="444"/>
      <c r="P205" s="444"/>
      <c r="Q205" s="444">
        <v>0</v>
      </c>
      <c r="R205" s="444"/>
      <c r="S205" s="444">
        <v>0</v>
      </c>
      <c r="T205" s="444">
        <v>0</v>
      </c>
      <c r="U205" s="444"/>
      <c r="V205" s="444">
        <v>0</v>
      </c>
      <c r="W205" s="444">
        <v>0</v>
      </c>
      <c r="X205" s="418"/>
      <c r="Y205" s="445"/>
      <c r="Z205" s="420"/>
      <c r="AA205" s="421">
        <v>229.33</v>
      </c>
      <c r="AB205" s="421"/>
      <c r="AC205" s="454">
        <v>23</v>
      </c>
      <c r="AE205" s="419" t="s">
        <v>2087</v>
      </c>
      <c r="AF205" s="454">
        <v>1</v>
      </c>
      <c r="AG205" s="429">
        <v>43101</v>
      </c>
      <c r="AJ205" s="430">
        <v>43192</v>
      </c>
      <c r="AL205" s="424" t="s">
        <v>1008</v>
      </c>
      <c r="AO205" s="445"/>
      <c r="AP205" s="454">
        <v>556630</v>
      </c>
      <c r="AQ205" s="431">
        <v>43102</v>
      </c>
      <c r="AR205" s="370">
        <v>0.3</v>
      </c>
      <c r="AT205" s="426"/>
      <c r="AU205" s="426"/>
      <c r="AV205" s="426"/>
      <c r="AY205" s="427" t="s">
        <v>1717</v>
      </c>
      <c r="AZ205" s="373"/>
      <c r="BB205" s="374" t="s">
        <v>1727</v>
      </c>
      <c r="BC205" s="445"/>
      <c r="BE205" s="448"/>
      <c r="BF205" s="449"/>
      <c r="BG205" s="428"/>
      <c r="BH205" s="445"/>
      <c r="BI205" s="491"/>
      <c r="BJ205" s="491">
        <v>5</v>
      </c>
      <c r="BK205" s="445" t="s">
        <v>2893</v>
      </c>
      <c r="BL205" s="419" t="s">
        <v>2894</v>
      </c>
      <c r="BM205" s="445"/>
      <c r="BN205" s="419"/>
      <c r="BO205" s="419"/>
      <c r="BP205" s="419"/>
      <c r="BQ205" s="419" t="s">
        <v>1783</v>
      </c>
      <c r="BR205" s="419">
        <v>2</v>
      </c>
      <c r="BS205" s="419"/>
      <c r="BT205" s="445"/>
      <c r="BU205" s="445"/>
      <c r="BV205" s="445"/>
      <c r="BW205" s="445" t="s">
        <v>2080</v>
      </c>
      <c r="BX205" s="445"/>
      <c r="BY205" s="445"/>
    </row>
    <row r="206" spans="1:77" ht="15">
      <c r="A206" s="370" t="s">
        <v>1783</v>
      </c>
      <c r="B206" s="415" t="s">
        <v>85</v>
      </c>
      <c r="C206" s="416" t="s">
        <v>1784</v>
      </c>
      <c r="D206" s="444">
        <v>0</v>
      </c>
      <c r="E206" s="415" t="s">
        <v>1749</v>
      </c>
      <c r="F206" s="444">
        <v>3</v>
      </c>
      <c r="G206" s="415" t="s">
        <v>1750</v>
      </c>
      <c r="H206" s="444">
        <v>93</v>
      </c>
      <c r="I206" s="417" t="s">
        <v>2088</v>
      </c>
      <c r="J206" s="444">
        <v>1.5</v>
      </c>
      <c r="K206" s="444">
        <v>0</v>
      </c>
      <c r="L206" s="444"/>
      <c r="M206" s="444">
        <v>0</v>
      </c>
      <c r="N206" s="444">
        <v>120</v>
      </c>
      <c r="O206" s="444"/>
      <c r="P206" s="444"/>
      <c r="Q206" s="444">
        <v>0</v>
      </c>
      <c r="R206" s="444"/>
      <c r="S206" s="444">
        <v>0</v>
      </c>
      <c r="T206" s="444">
        <v>0</v>
      </c>
      <c r="U206" s="444"/>
      <c r="V206" s="444">
        <v>0</v>
      </c>
      <c r="W206" s="444">
        <v>0</v>
      </c>
      <c r="X206" s="418"/>
      <c r="Y206" s="445"/>
      <c r="Z206" s="420"/>
      <c r="AA206" s="421">
        <v>204.26</v>
      </c>
      <c r="AB206" s="421"/>
      <c r="AC206" s="454">
        <v>23</v>
      </c>
      <c r="AE206" s="419" t="s">
        <v>2089</v>
      </c>
      <c r="AF206" s="454">
        <v>1</v>
      </c>
      <c r="AG206" s="429">
        <v>43101</v>
      </c>
      <c r="AJ206" s="430">
        <v>43192</v>
      </c>
      <c r="AL206" s="424" t="s">
        <v>1008</v>
      </c>
      <c r="AO206" s="445"/>
      <c r="AP206" s="454">
        <v>556630</v>
      </c>
      <c r="AQ206" s="431">
        <v>43102</v>
      </c>
      <c r="AR206" s="370">
        <v>0.3</v>
      </c>
      <c r="AT206" s="426"/>
      <c r="AU206" s="426"/>
      <c r="AV206" s="426"/>
      <c r="AY206" s="427" t="s">
        <v>1717</v>
      </c>
      <c r="AZ206" s="373"/>
      <c r="BB206" s="374" t="s">
        <v>1727</v>
      </c>
      <c r="BC206" s="445"/>
      <c r="BE206" s="448"/>
      <c r="BF206" s="449"/>
      <c r="BG206" s="428"/>
      <c r="BH206" s="445"/>
      <c r="BI206" s="491"/>
      <c r="BJ206" s="491">
        <v>6</v>
      </c>
      <c r="BK206" s="445" t="s">
        <v>2895</v>
      </c>
      <c r="BL206" s="419" t="s">
        <v>2896</v>
      </c>
      <c r="BM206" s="445"/>
      <c r="BN206" s="419"/>
      <c r="BO206" s="419"/>
      <c r="BP206" s="419"/>
      <c r="BQ206" s="419" t="s">
        <v>1783</v>
      </c>
      <c r="BR206" s="419">
        <v>2</v>
      </c>
      <c r="BS206" s="419"/>
      <c r="BT206" s="445"/>
      <c r="BU206" s="445"/>
      <c r="BV206" s="445"/>
      <c r="BW206" s="445" t="s">
        <v>2080</v>
      </c>
      <c r="BX206" s="445"/>
      <c r="BY206" s="445"/>
    </row>
    <row r="207" spans="1:77" ht="15">
      <c r="A207" s="370" t="s">
        <v>1783</v>
      </c>
      <c r="B207" s="415" t="s">
        <v>85</v>
      </c>
      <c r="C207" s="416" t="s">
        <v>1784</v>
      </c>
      <c r="D207" s="444">
        <v>0</v>
      </c>
      <c r="E207" s="415" t="s">
        <v>1749</v>
      </c>
      <c r="F207" s="444">
        <v>3</v>
      </c>
      <c r="G207" s="415" t="s">
        <v>1750</v>
      </c>
      <c r="H207" s="444">
        <v>66</v>
      </c>
      <c r="I207" s="417" t="s">
        <v>1632</v>
      </c>
      <c r="J207" s="444">
        <v>2.4</v>
      </c>
      <c r="K207" s="444">
        <v>0</v>
      </c>
      <c r="L207" s="444"/>
      <c r="M207" s="444">
        <v>0</v>
      </c>
      <c r="N207" s="444">
        <v>0</v>
      </c>
      <c r="O207" s="444"/>
      <c r="P207" s="444"/>
      <c r="Q207" s="444">
        <v>341.67</v>
      </c>
      <c r="R207" s="444"/>
      <c r="S207" s="444">
        <v>0</v>
      </c>
      <c r="T207" s="444">
        <v>0</v>
      </c>
      <c r="U207" s="444"/>
      <c r="V207" s="444">
        <v>0</v>
      </c>
      <c r="W207" s="444">
        <v>0</v>
      </c>
      <c r="X207" s="418"/>
      <c r="Y207" s="445"/>
      <c r="Z207" s="420"/>
      <c r="AA207" s="421">
        <v>171.75</v>
      </c>
      <c r="AB207" s="421"/>
      <c r="AC207" s="454">
        <v>23</v>
      </c>
      <c r="AE207" s="419" t="s">
        <v>2090</v>
      </c>
      <c r="AF207" s="454">
        <v>1</v>
      </c>
      <c r="AG207" s="429">
        <v>43101</v>
      </c>
      <c r="AJ207" s="430">
        <v>43192</v>
      </c>
      <c r="AL207" s="424" t="s">
        <v>1009</v>
      </c>
      <c r="AO207" s="445"/>
      <c r="AP207" s="454">
        <v>556630</v>
      </c>
      <c r="AQ207" s="431">
        <v>43102</v>
      </c>
      <c r="AR207" s="370">
        <v>0.5</v>
      </c>
      <c r="AT207" s="426"/>
      <c r="AU207" s="426"/>
      <c r="AV207" s="426"/>
      <c r="AY207" s="427" t="s">
        <v>1717</v>
      </c>
      <c r="AZ207" s="373"/>
      <c r="BB207" s="374" t="s">
        <v>1727</v>
      </c>
      <c r="BC207" s="445"/>
      <c r="BE207" s="448"/>
      <c r="BF207" s="449"/>
      <c r="BG207" s="428"/>
      <c r="BH207" s="445"/>
      <c r="BI207" s="491"/>
      <c r="BJ207" s="491">
        <v>7</v>
      </c>
      <c r="BK207" s="445" t="s">
        <v>86</v>
      </c>
      <c r="BL207" s="419" t="s">
        <v>2697</v>
      </c>
      <c r="BM207" s="445"/>
      <c r="BN207" s="419"/>
      <c r="BO207" s="419"/>
      <c r="BP207" s="419"/>
      <c r="BQ207" s="419" t="s">
        <v>1783</v>
      </c>
      <c r="BR207" s="419">
        <v>5</v>
      </c>
      <c r="BS207" s="419"/>
      <c r="BT207" s="445"/>
      <c r="BU207" s="445"/>
      <c r="BV207" s="445"/>
      <c r="BW207" s="445" t="s">
        <v>2080</v>
      </c>
      <c r="BX207" s="445"/>
      <c r="BY207" s="445"/>
    </row>
    <row r="208" spans="1:77" ht="15">
      <c r="A208" s="370" t="s">
        <v>31</v>
      </c>
      <c r="B208" s="415" t="s">
        <v>85</v>
      </c>
      <c r="C208" s="416" t="s">
        <v>31</v>
      </c>
      <c r="D208" s="444">
        <v>0</v>
      </c>
      <c r="E208" s="415" t="s">
        <v>1716</v>
      </c>
      <c r="F208" s="444">
        <v>2</v>
      </c>
      <c r="G208" s="415" t="s">
        <v>1661</v>
      </c>
      <c r="H208" s="444">
        <v>20</v>
      </c>
      <c r="I208" s="417" t="s">
        <v>1423</v>
      </c>
      <c r="J208" s="444">
        <v>2.2000000000000002</v>
      </c>
      <c r="K208" s="444">
        <v>753</v>
      </c>
      <c r="L208" s="444">
        <v>0</v>
      </c>
      <c r="M208" s="444">
        <v>268</v>
      </c>
      <c r="N208" s="444">
        <v>24</v>
      </c>
      <c r="O208" s="444">
        <v>0</v>
      </c>
      <c r="P208" s="444">
        <v>0</v>
      </c>
      <c r="Q208" s="444">
        <v>0</v>
      </c>
      <c r="R208" s="444">
        <v>35</v>
      </c>
      <c r="S208" s="444">
        <v>72</v>
      </c>
      <c r="T208" s="444">
        <v>36</v>
      </c>
      <c r="U208" s="444">
        <v>12</v>
      </c>
      <c r="V208" s="444">
        <v>51</v>
      </c>
      <c r="W208" s="444">
        <v>26</v>
      </c>
      <c r="X208" s="418"/>
      <c r="Y208" s="445"/>
      <c r="Z208" s="420"/>
      <c r="AA208" s="421">
        <v>67.33</v>
      </c>
      <c r="AB208" s="421">
        <v>33.43</v>
      </c>
      <c r="AC208" s="454">
        <v>52</v>
      </c>
      <c r="AE208" s="419" t="s">
        <v>2091</v>
      </c>
      <c r="AF208" s="454">
        <v>1</v>
      </c>
      <c r="AG208" s="429">
        <v>43101</v>
      </c>
      <c r="AJ208" s="430">
        <v>43192</v>
      </c>
      <c r="AL208" s="424" t="s">
        <v>931</v>
      </c>
      <c r="AO208" s="445"/>
      <c r="AP208" s="454">
        <v>556621</v>
      </c>
      <c r="AQ208" s="431">
        <v>43077</v>
      </c>
      <c r="AT208" s="426"/>
      <c r="AU208" s="426"/>
      <c r="AV208" s="426"/>
      <c r="AY208" s="427" t="s">
        <v>1717</v>
      </c>
      <c r="AZ208" s="373"/>
      <c r="BB208" s="374" t="s">
        <v>1727</v>
      </c>
      <c r="BC208" s="445"/>
      <c r="BE208" s="448">
        <v>5</v>
      </c>
      <c r="BF208" s="449">
        <v>40</v>
      </c>
      <c r="BG208" s="428" t="s">
        <v>1764</v>
      </c>
      <c r="BH208" s="445"/>
      <c r="BI208" s="491"/>
      <c r="BJ208" s="491">
        <v>1</v>
      </c>
      <c r="BK208" s="445" t="s">
        <v>1895</v>
      </c>
      <c r="BL208" s="419" t="s">
        <v>2897</v>
      </c>
      <c r="BM208" s="445"/>
      <c r="BN208" s="419" t="s">
        <v>1765</v>
      </c>
      <c r="BO208" s="419" t="s">
        <v>1765</v>
      </c>
      <c r="BP208" s="419" t="s">
        <v>1765</v>
      </c>
      <c r="BQ208" s="419" t="s">
        <v>31</v>
      </c>
      <c r="BR208" s="419"/>
      <c r="BS208" s="419"/>
      <c r="BT208" s="445"/>
      <c r="BU208" s="445"/>
      <c r="BV208" s="445"/>
      <c r="BW208" s="445" t="s">
        <v>2092</v>
      </c>
      <c r="BX208" s="445"/>
      <c r="BY208" s="445"/>
    </row>
    <row r="209" spans="1:77" ht="15">
      <c r="A209" s="370" t="s">
        <v>1783</v>
      </c>
      <c r="B209" s="415" t="s">
        <v>19</v>
      </c>
      <c r="C209" s="416" t="s">
        <v>2093</v>
      </c>
      <c r="D209" s="444">
        <v>0</v>
      </c>
      <c r="E209" s="415" t="s">
        <v>1749</v>
      </c>
      <c r="F209" s="444">
        <v>3</v>
      </c>
      <c r="G209" s="415" t="s">
        <v>1750</v>
      </c>
      <c r="H209" s="444">
        <v>18</v>
      </c>
      <c r="I209" s="417" t="s">
        <v>1660</v>
      </c>
      <c r="J209" s="444">
        <v>0.5</v>
      </c>
      <c r="K209" s="444">
        <v>0</v>
      </c>
      <c r="L209" s="444"/>
      <c r="M209" s="444">
        <v>0</v>
      </c>
      <c r="N209" s="444">
        <v>20</v>
      </c>
      <c r="O209" s="444"/>
      <c r="P209" s="444"/>
      <c r="Q209" s="444">
        <v>0</v>
      </c>
      <c r="R209" s="444"/>
      <c r="S209" s="444">
        <v>0</v>
      </c>
      <c r="T209" s="444">
        <v>0</v>
      </c>
      <c r="U209" s="444"/>
      <c r="V209" s="444">
        <v>0</v>
      </c>
      <c r="W209" s="444">
        <v>0</v>
      </c>
      <c r="X209" s="418"/>
      <c r="Y209" s="445"/>
      <c r="Z209" s="420"/>
      <c r="AA209" s="421">
        <v>261.88</v>
      </c>
      <c r="AB209" s="421"/>
      <c r="AC209" s="454">
        <v>23</v>
      </c>
      <c r="AE209" s="419" t="s">
        <v>2094</v>
      </c>
      <c r="AF209" s="454">
        <v>1</v>
      </c>
      <c r="AG209" s="429">
        <v>43101</v>
      </c>
      <c r="AJ209" s="430">
        <v>43201</v>
      </c>
      <c r="AL209" s="424" t="s">
        <v>999</v>
      </c>
      <c r="AO209" s="445"/>
      <c r="AP209" s="454">
        <v>556670</v>
      </c>
      <c r="AQ209" s="431">
        <v>43201</v>
      </c>
      <c r="AR209" s="370">
        <v>0.3</v>
      </c>
      <c r="AT209" s="426"/>
      <c r="AU209" s="426"/>
      <c r="AV209" s="426"/>
      <c r="AY209" s="427" t="s">
        <v>1720</v>
      </c>
      <c r="AZ209" s="373"/>
      <c r="BB209" s="374" t="s">
        <v>1726</v>
      </c>
      <c r="BC209" s="445"/>
      <c r="BE209" s="448"/>
      <c r="BF209" s="449"/>
      <c r="BG209" s="428"/>
      <c r="BH209" s="445"/>
      <c r="BI209" s="491"/>
      <c r="BJ209" s="491">
        <v>3</v>
      </c>
      <c r="BK209" s="445" t="s">
        <v>35</v>
      </c>
      <c r="BL209" s="419" t="s">
        <v>2898</v>
      </c>
      <c r="BM209" s="445"/>
      <c r="BN209" s="419"/>
      <c r="BO209" s="419"/>
      <c r="BP209" s="419"/>
      <c r="BQ209" s="419" t="s">
        <v>1783</v>
      </c>
      <c r="BR209" s="419">
        <v>2</v>
      </c>
      <c r="BS209" s="419"/>
      <c r="BT209" s="445"/>
      <c r="BU209" s="445"/>
      <c r="BV209" s="445"/>
      <c r="BW209" s="445" t="s">
        <v>2092</v>
      </c>
      <c r="BX209" s="445"/>
      <c r="BY209" s="445"/>
    </row>
    <row r="210" spans="1:77" ht="15">
      <c r="A210" s="370" t="s">
        <v>1783</v>
      </c>
      <c r="B210" s="415" t="s">
        <v>19</v>
      </c>
      <c r="C210" s="416" t="s">
        <v>2093</v>
      </c>
      <c r="D210" s="444">
        <v>0</v>
      </c>
      <c r="E210" s="415" t="s">
        <v>1749</v>
      </c>
      <c r="F210" s="444">
        <v>3</v>
      </c>
      <c r="G210" s="415" t="s">
        <v>1750</v>
      </c>
      <c r="H210" s="444">
        <v>15</v>
      </c>
      <c r="I210" s="417" t="s">
        <v>1768</v>
      </c>
      <c r="J210" s="444">
        <v>2.5</v>
      </c>
      <c r="K210" s="444">
        <v>0</v>
      </c>
      <c r="L210" s="444"/>
      <c r="M210" s="444">
        <v>0</v>
      </c>
      <c r="N210" s="444">
        <v>60</v>
      </c>
      <c r="O210" s="444"/>
      <c r="P210" s="444"/>
      <c r="Q210" s="444">
        <v>0</v>
      </c>
      <c r="R210" s="444"/>
      <c r="S210" s="444">
        <v>0</v>
      </c>
      <c r="T210" s="444">
        <v>0</v>
      </c>
      <c r="U210" s="444"/>
      <c r="V210" s="444">
        <v>0</v>
      </c>
      <c r="W210" s="444">
        <v>0</v>
      </c>
      <c r="X210" s="418"/>
      <c r="Y210" s="445"/>
      <c r="Z210" s="420"/>
      <c r="AA210" s="421">
        <v>309.82</v>
      </c>
      <c r="AB210" s="421"/>
      <c r="AC210" s="454">
        <v>23</v>
      </c>
      <c r="AE210" s="419" t="s">
        <v>2095</v>
      </c>
      <c r="AF210" s="454">
        <v>1</v>
      </c>
      <c r="AG210" s="429">
        <v>43101</v>
      </c>
      <c r="AJ210" s="430">
        <v>43201</v>
      </c>
      <c r="AL210" s="424" t="s">
        <v>999</v>
      </c>
      <c r="AO210" s="445"/>
      <c r="AP210" s="454">
        <v>556670</v>
      </c>
      <c r="AQ210" s="431">
        <v>43201</v>
      </c>
      <c r="AR210" s="370">
        <v>0.3</v>
      </c>
      <c r="AT210" s="426"/>
      <c r="AU210" s="426"/>
      <c r="AV210" s="426"/>
      <c r="AY210" s="427" t="s">
        <v>1720</v>
      </c>
      <c r="AZ210" s="373"/>
      <c r="BB210" s="374" t="s">
        <v>1726</v>
      </c>
      <c r="BC210" s="445"/>
      <c r="BE210" s="448"/>
      <c r="BF210" s="449"/>
      <c r="BG210" s="428"/>
      <c r="BH210" s="445"/>
      <c r="BI210" s="491"/>
      <c r="BJ210" s="491">
        <v>4</v>
      </c>
      <c r="BK210" s="445" t="s">
        <v>2899</v>
      </c>
      <c r="BL210" s="419" t="s">
        <v>2900</v>
      </c>
      <c r="BM210" s="445"/>
      <c r="BN210" s="419"/>
      <c r="BO210" s="419"/>
      <c r="BP210" s="419"/>
      <c r="BQ210" s="419" t="s">
        <v>1783</v>
      </c>
      <c r="BR210" s="419">
        <v>2</v>
      </c>
      <c r="BS210" s="419"/>
      <c r="BT210" s="445"/>
      <c r="BU210" s="445"/>
      <c r="BV210" s="445"/>
      <c r="BW210" s="445" t="s">
        <v>2092</v>
      </c>
      <c r="BX210" s="445"/>
      <c r="BY210" s="445"/>
    </row>
    <row r="211" spans="1:77" ht="15">
      <c r="A211" s="370" t="s">
        <v>1783</v>
      </c>
      <c r="B211" s="415" t="s">
        <v>19</v>
      </c>
      <c r="C211" s="416" t="s">
        <v>2093</v>
      </c>
      <c r="D211" s="444">
        <v>0</v>
      </c>
      <c r="E211" s="415" t="s">
        <v>1716</v>
      </c>
      <c r="F211" s="444">
        <v>3</v>
      </c>
      <c r="G211" s="415" t="s">
        <v>1750</v>
      </c>
      <c r="H211" s="444">
        <v>16</v>
      </c>
      <c r="I211" s="417" t="s">
        <v>1687</v>
      </c>
      <c r="J211" s="444">
        <v>2.2999999999999998</v>
      </c>
      <c r="K211" s="444">
        <v>0</v>
      </c>
      <c r="L211" s="444"/>
      <c r="M211" s="444">
        <v>0</v>
      </c>
      <c r="N211" s="444">
        <v>40</v>
      </c>
      <c r="O211" s="444"/>
      <c r="P211" s="444"/>
      <c r="Q211" s="444">
        <v>0</v>
      </c>
      <c r="R211" s="444"/>
      <c r="S211" s="444">
        <v>0</v>
      </c>
      <c r="T211" s="444">
        <v>0</v>
      </c>
      <c r="U211" s="444"/>
      <c r="V211" s="444">
        <v>0</v>
      </c>
      <c r="W211" s="444">
        <v>0</v>
      </c>
      <c r="X211" s="418"/>
      <c r="Y211" s="445"/>
      <c r="Z211" s="420"/>
      <c r="AA211" s="421">
        <v>309.77</v>
      </c>
      <c r="AB211" s="421"/>
      <c r="AC211" s="454">
        <v>23</v>
      </c>
      <c r="AE211" s="419" t="s">
        <v>2096</v>
      </c>
      <c r="AF211" s="454">
        <v>1</v>
      </c>
      <c r="AG211" s="429">
        <v>43101</v>
      </c>
      <c r="AJ211" s="430">
        <v>43201</v>
      </c>
      <c r="AL211" s="424" t="s">
        <v>999</v>
      </c>
      <c r="AO211" s="445"/>
      <c r="AP211" s="454">
        <v>556670</v>
      </c>
      <c r="AQ211" s="431">
        <v>43201</v>
      </c>
      <c r="AR211" s="370">
        <v>0.3</v>
      </c>
      <c r="AT211" s="426"/>
      <c r="AU211" s="426"/>
      <c r="AV211" s="426"/>
      <c r="AY211" s="427" t="s">
        <v>1720</v>
      </c>
      <c r="AZ211" s="373"/>
      <c r="BB211" s="374" t="s">
        <v>1726</v>
      </c>
      <c r="BC211" s="445"/>
      <c r="BE211" s="448"/>
      <c r="BF211" s="449"/>
      <c r="BG211" s="428"/>
      <c r="BH211" s="445"/>
      <c r="BI211" s="491"/>
      <c r="BJ211" s="491">
        <v>5</v>
      </c>
      <c r="BK211" s="445" t="s">
        <v>2901</v>
      </c>
      <c r="BL211" s="419" t="s">
        <v>2902</v>
      </c>
      <c r="BM211" s="445"/>
      <c r="BN211" s="419"/>
      <c r="BO211" s="419"/>
      <c r="BP211" s="419"/>
      <c r="BQ211" s="419" t="s">
        <v>1783</v>
      </c>
      <c r="BR211" s="419">
        <v>2</v>
      </c>
      <c r="BS211" s="419"/>
      <c r="BT211" s="445"/>
      <c r="BU211" s="445"/>
      <c r="BV211" s="445"/>
      <c r="BW211" s="445" t="s">
        <v>2092</v>
      </c>
      <c r="BX211" s="445"/>
      <c r="BY211" s="445"/>
    </row>
    <row r="212" spans="1:77" ht="15">
      <c r="A212" s="370" t="s">
        <v>1783</v>
      </c>
      <c r="B212" s="415" t="s">
        <v>19</v>
      </c>
      <c r="C212" s="416" t="s">
        <v>2093</v>
      </c>
      <c r="D212" s="444">
        <v>0</v>
      </c>
      <c r="E212" s="415" t="s">
        <v>1716</v>
      </c>
      <c r="F212" s="444">
        <v>3</v>
      </c>
      <c r="G212" s="415" t="s">
        <v>1750</v>
      </c>
      <c r="H212" s="444">
        <v>6</v>
      </c>
      <c r="I212" s="417" t="s">
        <v>1632</v>
      </c>
      <c r="J212" s="444">
        <v>3</v>
      </c>
      <c r="K212" s="444">
        <v>0</v>
      </c>
      <c r="L212" s="444"/>
      <c r="M212" s="444">
        <v>0</v>
      </c>
      <c r="N212" s="444">
        <v>20</v>
      </c>
      <c r="O212" s="444"/>
      <c r="P212" s="444"/>
      <c r="Q212" s="444">
        <v>0</v>
      </c>
      <c r="R212" s="444"/>
      <c r="S212" s="444">
        <v>0</v>
      </c>
      <c r="T212" s="444">
        <v>0</v>
      </c>
      <c r="U212" s="444"/>
      <c r="V212" s="444">
        <v>0</v>
      </c>
      <c r="W212" s="444">
        <v>0</v>
      </c>
      <c r="X212" s="418"/>
      <c r="Y212" s="445"/>
      <c r="Z212" s="420"/>
      <c r="AA212" s="421">
        <v>309.89999999999998</v>
      </c>
      <c r="AB212" s="421"/>
      <c r="AC212" s="454">
        <v>23</v>
      </c>
      <c r="AE212" s="419" t="s">
        <v>2097</v>
      </c>
      <c r="AF212" s="454">
        <v>1</v>
      </c>
      <c r="AG212" s="429">
        <v>43101</v>
      </c>
      <c r="AJ212" s="430">
        <v>43201</v>
      </c>
      <c r="AL212" s="424" t="s">
        <v>999</v>
      </c>
      <c r="AO212" s="445"/>
      <c r="AP212" s="454">
        <v>556670</v>
      </c>
      <c r="AQ212" s="431">
        <v>43201</v>
      </c>
      <c r="AR212" s="370">
        <v>0.3</v>
      </c>
      <c r="AT212" s="426"/>
      <c r="AU212" s="426"/>
      <c r="AV212" s="426"/>
      <c r="AY212" s="427" t="s">
        <v>1720</v>
      </c>
      <c r="AZ212" s="373"/>
      <c r="BB212" s="374" t="s">
        <v>1726</v>
      </c>
      <c r="BC212" s="445"/>
      <c r="BE212" s="448"/>
      <c r="BF212" s="449"/>
      <c r="BG212" s="428"/>
      <c r="BH212" s="445"/>
      <c r="BI212" s="491"/>
      <c r="BJ212" s="491">
        <v>6</v>
      </c>
      <c r="BK212" s="445" t="s">
        <v>125</v>
      </c>
      <c r="BL212" s="419" t="s">
        <v>2903</v>
      </c>
      <c r="BM212" s="445"/>
      <c r="BN212" s="419"/>
      <c r="BO212" s="419"/>
      <c r="BP212" s="419"/>
      <c r="BQ212" s="419" t="s">
        <v>1783</v>
      </c>
      <c r="BR212" s="419">
        <v>2</v>
      </c>
      <c r="BS212" s="419"/>
      <c r="BT212" s="445"/>
      <c r="BU212" s="445"/>
      <c r="BV212" s="445"/>
      <c r="BW212" s="445" t="s">
        <v>2092</v>
      </c>
      <c r="BX212" s="445"/>
      <c r="BY212" s="445"/>
    </row>
    <row r="213" spans="1:77" ht="15">
      <c r="A213" s="370" t="s">
        <v>1783</v>
      </c>
      <c r="B213" s="415" t="s">
        <v>19</v>
      </c>
      <c r="C213" s="416" t="s">
        <v>2093</v>
      </c>
      <c r="D213" s="444">
        <v>0</v>
      </c>
      <c r="E213" s="415" t="s">
        <v>1716</v>
      </c>
      <c r="F213" s="444">
        <v>3</v>
      </c>
      <c r="G213" s="415" t="s">
        <v>1750</v>
      </c>
      <c r="H213" s="444">
        <v>9</v>
      </c>
      <c r="I213" s="417" t="s">
        <v>1660</v>
      </c>
      <c r="J213" s="444">
        <v>1.7</v>
      </c>
      <c r="K213" s="444">
        <v>0</v>
      </c>
      <c r="L213" s="444"/>
      <c r="M213" s="444">
        <v>0</v>
      </c>
      <c r="N213" s="444">
        <v>40</v>
      </c>
      <c r="O213" s="444"/>
      <c r="P213" s="444"/>
      <c r="Q213" s="444">
        <v>0</v>
      </c>
      <c r="R213" s="444"/>
      <c r="S213" s="444">
        <v>0</v>
      </c>
      <c r="T213" s="444">
        <v>0</v>
      </c>
      <c r="U213" s="444"/>
      <c r="V213" s="444">
        <v>0</v>
      </c>
      <c r="W213" s="444">
        <v>0</v>
      </c>
      <c r="X213" s="418"/>
      <c r="Y213" s="445"/>
      <c r="Z213" s="420"/>
      <c r="AA213" s="421">
        <v>309.77</v>
      </c>
      <c r="AB213" s="421"/>
      <c r="AC213" s="454">
        <v>23</v>
      </c>
      <c r="AE213" s="419" t="s">
        <v>2098</v>
      </c>
      <c r="AF213" s="454">
        <v>1</v>
      </c>
      <c r="AG213" s="429">
        <v>43101</v>
      </c>
      <c r="AJ213" s="430">
        <v>43201</v>
      </c>
      <c r="AL213" s="424" t="s">
        <v>999</v>
      </c>
      <c r="AO213" s="445"/>
      <c r="AP213" s="454">
        <v>556670</v>
      </c>
      <c r="AQ213" s="431">
        <v>43201</v>
      </c>
      <c r="AR213" s="370">
        <v>0.3</v>
      </c>
      <c r="AT213" s="426"/>
      <c r="AU213" s="426"/>
      <c r="AV213" s="426"/>
      <c r="AY213" s="427" t="s">
        <v>1720</v>
      </c>
      <c r="AZ213" s="373"/>
      <c r="BB213" s="374" t="s">
        <v>1726</v>
      </c>
      <c r="BC213" s="445"/>
      <c r="BE213" s="448"/>
      <c r="BF213" s="449"/>
      <c r="BG213" s="428"/>
      <c r="BH213" s="445"/>
      <c r="BI213" s="491"/>
      <c r="BJ213" s="491">
        <v>7</v>
      </c>
      <c r="BK213" s="445" t="s">
        <v>2904</v>
      </c>
      <c r="BL213" s="419" t="s">
        <v>2905</v>
      </c>
      <c r="BM213" s="445"/>
      <c r="BN213" s="419"/>
      <c r="BO213" s="419"/>
      <c r="BP213" s="419"/>
      <c r="BQ213" s="419" t="s">
        <v>1783</v>
      </c>
      <c r="BR213" s="419">
        <v>2</v>
      </c>
      <c r="BS213" s="419"/>
      <c r="BT213" s="445"/>
      <c r="BU213" s="445"/>
      <c r="BV213" s="445"/>
      <c r="BW213" s="445" t="s">
        <v>2092</v>
      </c>
      <c r="BX213" s="445"/>
      <c r="BY213" s="445"/>
    </row>
    <row r="214" spans="1:77" ht="15">
      <c r="A214" s="370" t="s">
        <v>1783</v>
      </c>
      <c r="B214" s="415" t="s">
        <v>19</v>
      </c>
      <c r="C214" s="416" t="s">
        <v>2081</v>
      </c>
      <c r="D214" s="444">
        <v>0</v>
      </c>
      <c r="E214" s="415" t="s">
        <v>1716</v>
      </c>
      <c r="F214" s="444">
        <v>3</v>
      </c>
      <c r="G214" s="415" t="s">
        <v>1750</v>
      </c>
      <c r="H214" s="444">
        <v>105</v>
      </c>
      <c r="I214" s="417" t="s">
        <v>1687</v>
      </c>
      <c r="J214" s="444">
        <v>3.6</v>
      </c>
      <c r="K214" s="444">
        <v>0</v>
      </c>
      <c r="L214" s="444"/>
      <c r="M214" s="444">
        <v>0</v>
      </c>
      <c r="N214" s="444">
        <v>320</v>
      </c>
      <c r="O214" s="444"/>
      <c r="P214" s="444"/>
      <c r="Q214" s="444">
        <v>0</v>
      </c>
      <c r="R214" s="444"/>
      <c r="S214" s="444">
        <v>0</v>
      </c>
      <c r="T214" s="444">
        <v>0</v>
      </c>
      <c r="U214" s="444"/>
      <c r="V214" s="444">
        <v>0</v>
      </c>
      <c r="W214" s="444">
        <v>0</v>
      </c>
      <c r="X214" s="418"/>
      <c r="Y214" s="445"/>
      <c r="Z214" s="420"/>
      <c r="AA214" s="421">
        <v>204.23</v>
      </c>
      <c r="AB214" s="421"/>
      <c r="AC214" s="454">
        <v>23</v>
      </c>
      <c r="AE214" s="419" t="s">
        <v>2099</v>
      </c>
      <c r="AF214" s="454">
        <v>1</v>
      </c>
      <c r="AG214" s="429">
        <v>43101</v>
      </c>
      <c r="AJ214" s="430">
        <v>43201</v>
      </c>
      <c r="AL214" s="424" t="s">
        <v>917</v>
      </c>
      <c r="AO214" s="445"/>
      <c r="AP214" s="454">
        <v>556671</v>
      </c>
      <c r="AQ214" s="431">
        <v>43201</v>
      </c>
      <c r="AR214" s="370">
        <v>0.3</v>
      </c>
      <c r="AT214" s="426"/>
      <c r="AU214" s="426"/>
      <c r="AV214" s="426"/>
      <c r="AY214" s="427" t="s">
        <v>1720</v>
      </c>
      <c r="AZ214" s="373"/>
      <c r="BB214" s="374" t="s">
        <v>1726</v>
      </c>
      <c r="BC214" s="445"/>
      <c r="BE214" s="448"/>
      <c r="BF214" s="449"/>
      <c r="BG214" s="428"/>
      <c r="BH214" s="445"/>
      <c r="BI214" s="491"/>
      <c r="BJ214" s="491">
        <v>8</v>
      </c>
      <c r="BK214" s="445" t="s">
        <v>2906</v>
      </c>
      <c r="BL214" s="419" t="s">
        <v>2907</v>
      </c>
      <c r="BM214" s="445"/>
      <c r="BN214" s="419"/>
      <c r="BO214" s="419"/>
      <c r="BP214" s="419"/>
      <c r="BQ214" s="419" t="s">
        <v>1783</v>
      </c>
      <c r="BR214" s="419">
        <v>2</v>
      </c>
      <c r="BS214" s="419"/>
      <c r="BT214" s="445"/>
      <c r="BU214" s="445"/>
      <c r="BV214" s="445"/>
      <c r="BW214" s="445" t="s">
        <v>2092</v>
      </c>
      <c r="BX214" s="445"/>
      <c r="BY214" s="445"/>
    </row>
    <row r="215" spans="1:77" ht="15">
      <c r="A215" s="370" t="s">
        <v>1783</v>
      </c>
      <c r="B215" s="415" t="s">
        <v>19</v>
      </c>
      <c r="C215" s="416" t="s">
        <v>2081</v>
      </c>
      <c r="D215" s="444">
        <v>0</v>
      </c>
      <c r="E215" s="415" t="s">
        <v>1716</v>
      </c>
      <c r="F215" s="444">
        <v>3</v>
      </c>
      <c r="G215" s="415" t="s">
        <v>1750</v>
      </c>
      <c r="H215" s="444">
        <v>105</v>
      </c>
      <c r="I215" s="417" t="s">
        <v>1687</v>
      </c>
      <c r="J215" s="444">
        <v>3.6</v>
      </c>
      <c r="K215" s="444">
        <v>0</v>
      </c>
      <c r="L215" s="444"/>
      <c r="M215" s="444">
        <v>0</v>
      </c>
      <c r="N215" s="444">
        <v>320</v>
      </c>
      <c r="O215" s="444"/>
      <c r="P215" s="444"/>
      <c r="Q215" s="444">
        <v>0</v>
      </c>
      <c r="R215" s="444"/>
      <c r="S215" s="444">
        <v>0</v>
      </c>
      <c r="T215" s="444">
        <v>0</v>
      </c>
      <c r="U215" s="444"/>
      <c r="V215" s="444">
        <v>0</v>
      </c>
      <c r="W215" s="444">
        <v>0</v>
      </c>
      <c r="X215" s="418"/>
      <c r="Y215" s="445"/>
      <c r="Z215" s="420"/>
      <c r="AA215" s="421">
        <v>204.23</v>
      </c>
      <c r="AB215" s="421"/>
      <c r="AC215" s="454">
        <v>23</v>
      </c>
      <c r="AE215" s="419" t="s">
        <v>2099</v>
      </c>
      <c r="AF215" s="454">
        <v>1</v>
      </c>
      <c r="AG215" s="429">
        <v>43101</v>
      </c>
      <c r="AJ215" s="430">
        <v>43201</v>
      </c>
      <c r="AL215" s="424" t="s">
        <v>917</v>
      </c>
      <c r="AO215" s="445"/>
      <c r="AP215" s="454">
        <v>556671</v>
      </c>
      <c r="AQ215" s="431">
        <v>43201</v>
      </c>
      <c r="AR215" s="370">
        <v>0.3</v>
      </c>
      <c r="AT215" s="426"/>
      <c r="AU215" s="426"/>
      <c r="AV215" s="426"/>
      <c r="AY215" s="427" t="s">
        <v>1720</v>
      </c>
      <c r="AZ215" s="373"/>
      <c r="BB215" s="374" t="s">
        <v>1726</v>
      </c>
      <c r="BC215" s="445"/>
      <c r="BE215" s="448"/>
      <c r="BF215" s="449"/>
      <c r="BG215" s="428"/>
      <c r="BH215" s="445"/>
      <c r="BI215" s="491"/>
      <c r="BJ215" s="491">
        <v>8</v>
      </c>
      <c r="BK215" s="445" t="s">
        <v>2906</v>
      </c>
      <c r="BL215" s="419" t="s">
        <v>2907</v>
      </c>
      <c r="BM215" s="445"/>
      <c r="BN215" s="419"/>
      <c r="BO215" s="419"/>
      <c r="BP215" s="419"/>
      <c r="BQ215" s="419" t="s">
        <v>1783</v>
      </c>
      <c r="BR215" s="419">
        <v>2</v>
      </c>
      <c r="BS215" s="419"/>
      <c r="BT215" s="445"/>
      <c r="BU215" s="445"/>
      <c r="BV215" s="445"/>
      <c r="BW215" s="445" t="s">
        <v>2100</v>
      </c>
      <c r="BX215" s="445"/>
      <c r="BY215" s="445"/>
    </row>
    <row r="216" spans="1:77" ht="15">
      <c r="A216" s="370" t="s">
        <v>31</v>
      </c>
      <c r="B216" s="415" t="s">
        <v>177</v>
      </c>
      <c r="C216" s="416" t="s">
        <v>31</v>
      </c>
      <c r="D216" s="444">
        <v>0</v>
      </c>
      <c r="E216" s="415" t="s">
        <v>1716</v>
      </c>
      <c r="F216" s="444">
        <v>3</v>
      </c>
      <c r="G216" s="415" t="s">
        <v>1661</v>
      </c>
      <c r="H216" s="444">
        <v>75</v>
      </c>
      <c r="I216" s="417" t="s">
        <v>1687</v>
      </c>
      <c r="J216" s="444">
        <v>0.7</v>
      </c>
      <c r="K216" s="444">
        <v>341</v>
      </c>
      <c r="L216" s="444">
        <v>0</v>
      </c>
      <c r="M216" s="444">
        <v>1</v>
      </c>
      <c r="N216" s="444">
        <v>102</v>
      </c>
      <c r="O216" s="444">
        <v>0</v>
      </c>
      <c r="P216" s="444">
        <v>0</v>
      </c>
      <c r="Q216" s="444">
        <v>0</v>
      </c>
      <c r="R216" s="444">
        <v>10</v>
      </c>
      <c r="S216" s="444">
        <v>7</v>
      </c>
      <c r="T216" s="444">
        <v>148</v>
      </c>
      <c r="U216" s="444">
        <v>1</v>
      </c>
      <c r="V216" s="444">
        <v>2</v>
      </c>
      <c r="W216" s="444">
        <v>9</v>
      </c>
      <c r="X216" s="418"/>
      <c r="Y216" s="445"/>
      <c r="Z216" s="420"/>
      <c r="AA216" s="421">
        <v>55.661000000000001</v>
      </c>
      <c r="AB216" s="421">
        <v>32.753999999999998</v>
      </c>
      <c r="AC216" s="454">
        <v>16</v>
      </c>
      <c r="AE216" s="419" t="s">
        <v>2101</v>
      </c>
      <c r="AF216" s="454">
        <v>1</v>
      </c>
      <c r="AG216" s="429">
        <v>43101</v>
      </c>
      <c r="AJ216" s="430">
        <v>43192</v>
      </c>
      <c r="AL216" s="424" t="s">
        <v>913</v>
      </c>
      <c r="AO216" s="445"/>
      <c r="AP216" s="454">
        <v>556619</v>
      </c>
      <c r="AQ216" s="431">
        <v>43077</v>
      </c>
      <c r="AT216" s="426"/>
      <c r="AU216" s="426"/>
      <c r="AV216" s="426"/>
      <c r="AY216" s="427" t="s">
        <v>1717</v>
      </c>
      <c r="AZ216" s="373"/>
      <c r="BB216" s="374" t="s">
        <v>1727</v>
      </c>
      <c r="BC216" s="445"/>
      <c r="BE216" s="448">
        <v>5</v>
      </c>
      <c r="BF216" s="449">
        <v>40</v>
      </c>
      <c r="BG216" s="428" t="s">
        <v>1764</v>
      </c>
      <c r="BH216" s="445"/>
      <c r="BI216" s="491"/>
      <c r="BJ216" s="491">
        <v>1</v>
      </c>
      <c r="BK216" s="445" t="s">
        <v>2908</v>
      </c>
      <c r="BL216" s="419" t="s">
        <v>2909</v>
      </c>
      <c r="BM216" s="445"/>
      <c r="BN216" s="419" t="s">
        <v>1765</v>
      </c>
      <c r="BO216" s="419" t="s">
        <v>1765</v>
      </c>
      <c r="BP216" s="419" t="s">
        <v>1765</v>
      </c>
      <c r="BQ216" s="419" t="s">
        <v>31</v>
      </c>
      <c r="BR216" s="419"/>
      <c r="BS216" s="419"/>
      <c r="BT216" s="445"/>
      <c r="BU216" s="445"/>
      <c r="BV216" s="445"/>
      <c r="BW216" s="445" t="s">
        <v>2100</v>
      </c>
      <c r="BX216" s="445"/>
      <c r="BY216" s="445"/>
    </row>
    <row r="217" spans="1:77" ht="15">
      <c r="A217" s="370" t="s">
        <v>31</v>
      </c>
      <c r="B217" s="415" t="s">
        <v>177</v>
      </c>
      <c r="C217" s="416" t="s">
        <v>31</v>
      </c>
      <c r="D217" s="444">
        <v>0</v>
      </c>
      <c r="E217" s="415" t="s">
        <v>1716</v>
      </c>
      <c r="F217" s="444">
        <v>3</v>
      </c>
      <c r="G217" s="415" t="s">
        <v>1661</v>
      </c>
      <c r="H217" s="444">
        <v>76</v>
      </c>
      <c r="I217" s="417" t="s">
        <v>1632</v>
      </c>
      <c r="J217" s="444">
        <v>3.3</v>
      </c>
      <c r="K217" s="444">
        <v>695</v>
      </c>
      <c r="L217" s="444">
        <v>0</v>
      </c>
      <c r="M217" s="444">
        <v>37</v>
      </c>
      <c r="N217" s="444">
        <v>233</v>
      </c>
      <c r="O217" s="444">
        <v>0</v>
      </c>
      <c r="P217" s="444">
        <v>0</v>
      </c>
      <c r="Q217" s="444">
        <v>5</v>
      </c>
      <c r="R217" s="444">
        <v>125</v>
      </c>
      <c r="S217" s="444">
        <v>69</v>
      </c>
      <c r="T217" s="444">
        <v>190</v>
      </c>
      <c r="U217" s="444">
        <v>8</v>
      </c>
      <c r="V217" s="444">
        <v>12</v>
      </c>
      <c r="W217" s="444">
        <v>11</v>
      </c>
      <c r="X217" s="418"/>
      <c r="Y217" s="445"/>
      <c r="Z217" s="420"/>
      <c r="AA217" s="421">
        <v>61.037999999999997</v>
      </c>
      <c r="AB217" s="421">
        <v>33.53</v>
      </c>
      <c r="AC217" s="454">
        <v>54</v>
      </c>
      <c r="AE217" s="419" t="s">
        <v>2102</v>
      </c>
      <c r="AF217" s="454">
        <v>1</v>
      </c>
      <c r="AG217" s="429">
        <v>43101</v>
      </c>
      <c r="AJ217" s="430">
        <v>43192</v>
      </c>
      <c r="AL217" s="424" t="s">
        <v>913</v>
      </c>
      <c r="AO217" s="445"/>
      <c r="AP217" s="454">
        <v>556619</v>
      </c>
      <c r="AQ217" s="431">
        <v>43077</v>
      </c>
      <c r="AT217" s="426"/>
      <c r="AU217" s="426"/>
      <c r="AV217" s="426"/>
      <c r="AY217" s="427" t="s">
        <v>1717</v>
      </c>
      <c r="AZ217" s="373"/>
      <c r="BB217" s="374" t="s">
        <v>1727</v>
      </c>
      <c r="BC217" s="445"/>
      <c r="BE217" s="448">
        <v>5</v>
      </c>
      <c r="BF217" s="449">
        <v>40</v>
      </c>
      <c r="BG217" s="428" t="s">
        <v>1764</v>
      </c>
      <c r="BH217" s="445"/>
      <c r="BI217" s="491"/>
      <c r="BJ217" s="491">
        <v>2</v>
      </c>
      <c r="BK217" s="445" t="s">
        <v>2910</v>
      </c>
      <c r="BL217" s="419" t="s">
        <v>2911</v>
      </c>
      <c r="BM217" s="445"/>
      <c r="BN217" s="419" t="s">
        <v>1765</v>
      </c>
      <c r="BO217" s="419" t="s">
        <v>1765</v>
      </c>
      <c r="BP217" s="419" t="s">
        <v>1765</v>
      </c>
      <c r="BQ217" s="419" t="s">
        <v>31</v>
      </c>
      <c r="BR217" s="419"/>
      <c r="BS217" s="419"/>
      <c r="BT217" s="445"/>
      <c r="BU217" s="445"/>
      <c r="BV217" s="445"/>
      <c r="BW217" s="445" t="s">
        <v>2103</v>
      </c>
      <c r="BX217" s="445"/>
      <c r="BY217" s="445"/>
    </row>
    <row r="218" spans="1:77" ht="15">
      <c r="A218" s="370" t="s">
        <v>31</v>
      </c>
      <c r="B218" s="415" t="s">
        <v>132</v>
      </c>
      <c r="C218" s="416" t="s">
        <v>31</v>
      </c>
      <c r="D218" s="444">
        <v>0</v>
      </c>
      <c r="E218" s="415" t="s">
        <v>1716</v>
      </c>
      <c r="F218" s="444">
        <v>2</v>
      </c>
      <c r="G218" s="415" t="s">
        <v>1661</v>
      </c>
      <c r="H218" s="444">
        <v>3</v>
      </c>
      <c r="I218" s="417" t="s">
        <v>1425</v>
      </c>
      <c r="J218" s="444">
        <v>4</v>
      </c>
      <c r="K218" s="444">
        <v>2376</v>
      </c>
      <c r="L218" s="444">
        <v>0</v>
      </c>
      <c r="M218" s="444">
        <v>0</v>
      </c>
      <c r="N218" s="444">
        <v>535</v>
      </c>
      <c r="O218" s="444">
        <v>0</v>
      </c>
      <c r="P218" s="444">
        <v>0</v>
      </c>
      <c r="Q218" s="444">
        <v>26</v>
      </c>
      <c r="R218" s="444">
        <v>52</v>
      </c>
      <c r="S218" s="444">
        <v>4</v>
      </c>
      <c r="T218" s="444">
        <v>452</v>
      </c>
      <c r="U218" s="444">
        <v>18</v>
      </c>
      <c r="V218" s="444">
        <v>3</v>
      </c>
      <c r="W218" s="444">
        <v>308</v>
      </c>
      <c r="X218" s="418"/>
      <c r="Y218" s="445"/>
      <c r="Z218" s="420"/>
      <c r="AA218" s="421">
        <v>72.058999999999997</v>
      </c>
      <c r="AB218" s="421">
        <v>31.853000000000002</v>
      </c>
      <c r="AC218" s="454">
        <v>99</v>
      </c>
      <c r="AE218" s="419" t="s">
        <v>2104</v>
      </c>
      <c r="AF218" s="454">
        <v>1</v>
      </c>
      <c r="AG218" s="429">
        <v>43101</v>
      </c>
      <c r="AJ218" s="430">
        <v>43192</v>
      </c>
      <c r="AL218" s="424" t="s">
        <v>888</v>
      </c>
      <c r="AO218" s="445"/>
      <c r="AP218" s="454">
        <v>556617</v>
      </c>
      <c r="AQ218" s="431">
        <v>43077</v>
      </c>
      <c r="AT218" s="426"/>
      <c r="AU218" s="426"/>
      <c r="AV218" s="426"/>
      <c r="AY218" s="427" t="s">
        <v>1720</v>
      </c>
      <c r="AZ218" s="373"/>
      <c r="BB218" s="374" t="s">
        <v>1726</v>
      </c>
      <c r="BC218" s="445"/>
      <c r="BE218" s="448">
        <v>5</v>
      </c>
      <c r="BF218" s="449">
        <v>20</v>
      </c>
      <c r="BG218" s="428" t="s">
        <v>1764</v>
      </c>
      <c r="BH218" s="445"/>
      <c r="BI218" s="491"/>
      <c r="BJ218" s="491">
        <v>2</v>
      </c>
      <c r="BK218" s="445" t="s">
        <v>2912</v>
      </c>
      <c r="BL218" s="419" t="s">
        <v>2913</v>
      </c>
      <c r="BM218" s="445"/>
      <c r="BN218" s="419" t="s">
        <v>1765</v>
      </c>
      <c r="BO218" s="419" t="s">
        <v>1765</v>
      </c>
      <c r="BP218" s="419" t="s">
        <v>1765</v>
      </c>
      <c r="BQ218" s="419" t="s">
        <v>31</v>
      </c>
      <c r="BR218" s="419"/>
      <c r="BS218" s="419"/>
      <c r="BT218" s="445"/>
      <c r="BU218" s="445"/>
      <c r="BV218" s="445"/>
      <c r="BW218" s="445" t="s">
        <v>2105</v>
      </c>
      <c r="BX218" s="445"/>
      <c r="BY218" s="445"/>
    </row>
    <row r="219" spans="1:77" ht="15">
      <c r="A219" s="370" t="s">
        <v>31</v>
      </c>
      <c r="B219" s="415" t="s">
        <v>132</v>
      </c>
      <c r="C219" s="416" t="s">
        <v>31</v>
      </c>
      <c r="D219" s="444">
        <v>0</v>
      </c>
      <c r="E219" s="415" t="s">
        <v>1716</v>
      </c>
      <c r="F219" s="444">
        <v>2</v>
      </c>
      <c r="G219" s="415" t="s">
        <v>1661</v>
      </c>
      <c r="H219" s="444">
        <v>24</v>
      </c>
      <c r="I219" s="417" t="s">
        <v>1664</v>
      </c>
      <c r="J219" s="444">
        <v>2.9</v>
      </c>
      <c r="K219" s="444">
        <v>1351</v>
      </c>
      <c r="L219" s="444">
        <v>0</v>
      </c>
      <c r="M219" s="444">
        <v>0</v>
      </c>
      <c r="N219" s="444">
        <v>426</v>
      </c>
      <c r="O219" s="444">
        <v>0</v>
      </c>
      <c r="P219" s="444">
        <v>0</v>
      </c>
      <c r="Q219" s="444">
        <v>10</v>
      </c>
      <c r="R219" s="444">
        <v>28</v>
      </c>
      <c r="S219" s="444">
        <v>5</v>
      </c>
      <c r="T219" s="444">
        <v>280</v>
      </c>
      <c r="U219" s="444">
        <v>9</v>
      </c>
      <c r="V219" s="444">
        <v>4</v>
      </c>
      <c r="W219" s="444">
        <v>197</v>
      </c>
      <c r="X219" s="418"/>
      <c r="Y219" s="445"/>
      <c r="Z219" s="420"/>
      <c r="AA219" s="421">
        <v>73.221999999999994</v>
      </c>
      <c r="AB219" s="421">
        <v>34.326000000000001</v>
      </c>
      <c r="AC219" s="454">
        <v>0</v>
      </c>
      <c r="AE219" s="419" t="s">
        <v>2107</v>
      </c>
      <c r="AF219" s="454">
        <v>1</v>
      </c>
      <c r="AG219" s="429">
        <v>43101</v>
      </c>
      <c r="AJ219" s="430">
        <v>43192</v>
      </c>
      <c r="AL219" s="424" t="s">
        <v>888</v>
      </c>
      <c r="AO219" s="445"/>
      <c r="AP219" s="454">
        <v>556617</v>
      </c>
      <c r="AQ219" s="431">
        <v>43077</v>
      </c>
      <c r="AT219" s="426"/>
      <c r="AU219" s="426"/>
      <c r="AV219" s="426"/>
      <c r="AY219" s="427" t="s">
        <v>1720</v>
      </c>
      <c r="AZ219" s="373"/>
      <c r="BB219" s="374" t="s">
        <v>1726</v>
      </c>
      <c r="BC219" s="445"/>
      <c r="BE219" s="448">
        <v>5</v>
      </c>
      <c r="BF219" s="449">
        <v>40</v>
      </c>
      <c r="BG219" s="428" t="s">
        <v>1764</v>
      </c>
      <c r="BH219" s="445"/>
      <c r="BI219" s="491"/>
      <c r="BJ219" s="491">
        <v>1</v>
      </c>
      <c r="BK219" s="445" t="s">
        <v>2914</v>
      </c>
      <c r="BL219" s="419" t="s">
        <v>2915</v>
      </c>
      <c r="BM219" s="445"/>
      <c r="BN219" s="419" t="s">
        <v>1765</v>
      </c>
      <c r="BO219" s="419" t="s">
        <v>1765</v>
      </c>
      <c r="BP219" s="419" t="s">
        <v>1765</v>
      </c>
      <c r="BQ219" s="419" t="s">
        <v>31</v>
      </c>
      <c r="BR219" s="419"/>
      <c r="BS219" s="419"/>
      <c r="BT219" s="445"/>
      <c r="BU219" s="445"/>
      <c r="BV219" s="445"/>
      <c r="BW219" s="445" t="s">
        <v>2106</v>
      </c>
      <c r="BX219" s="445"/>
      <c r="BY219" s="445"/>
    </row>
    <row r="220" spans="1:77" ht="15">
      <c r="A220" s="370" t="s">
        <v>31</v>
      </c>
      <c r="B220" s="415" t="s">
        <v>132</v>
      </c>
      <c r="C220" s="416" t="s">
        <v>31</v>
      </c>
      <c r="D220" s="444">
        <v>0</v>
      </c>
      <c r="E220" s="415" t="s">
        <v>1716</v>
      </c>
      <c r="F220" s="444">
        <v>2</v>
      </c>
      <c r="G220" s="415" t="s">
        <v>1661</v>
      </c>
      <c r="H220" s="444">
        <v>24</v>
      </c>
      <c r="I220" s="417" t="s">
        <v>1664</v>
      </c>
      <c r="J220" s="444">
        <v>2.9</v>
      </c>
      <c r="K220" s="444">
        <v>1351</v>
      </c>
      <c r="L220" s="444">
        <v>0</v>
      </c>
      <c r="M220" s="444">
        <v>0</v>
      </c>
      <c r="N220" s="444">
        <v>426</v>
      </c>
      <c r="O220" s="444">
        <v>0</v>
      </c>
      <c r="P220" s="444">
        <v>0</v>
      </c>
      <c r="Q220" s="444">
        <v>10</v>
      </c>
      <c r="R220" s="444">
        <v>28</v>
      </c>
      <c r="S220" s="444">
        <v>5</v>
      </c>
      <c r="T220" s="444">
        <v>280</v>
      </c>
      <c r="U220" s="444">
        <v>9</v>
      </c>
      <c r="V220" s="444">
        <v>4</v>
      </c>
      <c r="W220" s="444">
        <v>197</v>
      </c>
      <c r="X220" s="418"/>
      <c r="Y220" s="445"/>
      <c r="Z220" s="420"/>
      <c r="AA220" s="421">
        <v>73.221999999999994</v>
      </c>
      <c r="AB220" s="421">
        <v>34.326000000000001</v>
      </c>
      <c r="AC220" s="454">
        <v>0</v>
      </c>
      <c r="AE220" s="419" t="s">
        <v>2107</v>
      </c>
      <c r="AF220" s="454">
        <v>1</v>
      </c>
      <c r="AG220" s="429">
        <v>43101</v>
      </c>
      <c r="AJ220" s="430">
        <v>43192</v>
      </c>
      <c r="AL220" s="424" t="s">
        <v>888</v>
      </c>
      <c r="AO220" s="445"/>
      <c r="AP220" s="454">
        <v>556617</v>
      </c>
      <c r="AQ220" s="431">
        <v>43077</v>
      </c>
      <c r="AT220" s="426"/>
      <c r="AU220" s="426"/>
      <c r="AV220" s="426"/>
      <c r="AY220" s="427" t="s">
        <v>1720</v>
      </c>
      <c r="AZ220" s="373"/>
      <c r="BB220" s="374" t="s">
        <v>1726</v>
      </c>
      <c r="BC220" s="445"/>
      <c r="BE220" s="448">
        <v>5</v>
      </c>
      <c r="BF220" s="449">
        <v>40</v>
      </c>
      <c r="BG220" s="428" t="s">
        <v>1764</v>
      </c>
      <c r="BH220" s="445"/>
      <c r="BI220" s="491"/>
      <c r="BJ220" s="491">
        <v>1</v>
      </c>
      <c r="BK220" s="445" t="s">
        <v>2914</v>
      </c>
      <c r="BL220" s="419" t="s">
        <v>2915</v>
      </c>
      <c r="BM220" s="445"/>
      <c r="BN220" s="419" t="s">
        <v>1765</v>
      </c>
      <c r="BO220" s="419" t="s">
        <v>1765</v>
      </c>
      <c r="BP220" s="419" t="s">
        <v>1765</v>
      </c>
      <c r="BQ220" s="419" t="s">
        <v>31</v>
      </c>
      <c r="BR220" s="419"/>
      <c r="BS220" s="419"/>
      <c r="BT220" s="445"/>
      <c r="BU220" s="445"/>
      <c r="BV220" s="445"/>
      <c r="BW220" s="445" t="s">
        <v>2106</v>
      </c>
      <c r="BX220" s="445"/>
      <c r="BY220" s="445"/>
    </row>
    <row r="221" spans="1:77" ht="15">
      <c r="A221" s="370" t="s">
        <v>1269</v>
      </c>
      <c r="B221" s="415" t="s">
        <v>177</v>
      </c>
      <c r="C221" s="416" t="s">
        <v>1784</v>
      </c>
      <c r="D221" s="444">
        <v>0</v>
      </c>
      <c r="E221" s="415" t="s">
        <v>1716</v>
      </c>
      <c r="F221" s="444">
        <v>3</v>
      </c>
      <c r="G221" s="415" t="s">
        <v>1661</v>
      </c>
      <c r="H221" s="444">
        <v>51</v>
      </c>
      <c r="I221" s="417" t="s">
        <v>1685</v>
      </c>
      <c r="J221" s="444">
        <v>5.3</v>
      </c>
      <c r="K221" s="444">
        <v>82</v>
      </c>
      <c r="L221" s="444">
        <v>0</v>
      </c>
      <c r="M221" s="444">
        <v>0</v>
      </c>
      <c r="N221" s="444">
        <v>0</v>
      </c>
      <c r="O221" s="444">
        <v>0</v>
      </c>
      <c r="P221" s="444">
        <v>0</v>
      </c>
      <c r="Q221" s="444">
        <v>0</v>
      </c>
      <c r="R221" s="444">
        <v>0</v>
      </c>
      <c r="S221" s="444">
        <v>0</v>
      </c>
      <c r="T221" s="444">
        <v>0</v>
      </c>
      <c r="U221" s="444">
        <v>0</v>
      </c>
      <c r="V221" s="444">
        <v>0</v>
      </c>
      <c r="W221" s="444">
        <v>4</v>
      </c>
      <c r="X221" s="418"/>
      <c r="Y221" s="445"/>
      <c r="Z221" s="420"/>
      <c r="AA221" s="421">
        <v>304.02300000000002</v>
      </c>
      <c r="AB221" s="421">
        <v>29.978000000000002</v>
      </c>
      <c r="AC221" s="454">
        <v>4</v>
      </c>
      <c r="AE221" s="419" t="s">
        <v>2108</v>
      </c>
      <c r="AF221" s="454">
        <v>1</v>
      </c>
      <c r="AG221" s="429">
        <v>43101</v>
      </c>
      <c r="AJ221" s="430">
        <v>43192</v>
      </c>
      <c r="AL221" s="424" t="s">
        <v>1015</v>
      </c>
      <c r="AO221" s="445"/>
      <c r="AP221" s="454">
        <v>556635</v>
      </c>
      <c r="AQ221" s="431">
        <v>43102</v>
      </c>
      <c r="AT221" s="426"/>
      <c r="AU221" s="426"/>
      <c r="AV221" s="426"/>
      <c r="AY221" s="427" t="s">
        <v>1717</v>
      </c>
      <c r="AZ221" s="373"/>
      <c r="BB221" s="374" t="s">
        <v>1727</v>
      </c>
      <c r="BC221" s="445"/>
      <c r="BE221" s="448">
        <v>0</v>
      </c>
      <c r="BF221" s="449">
        <v>0</v>
      </c>
      <c r="BG221" s="428" t="s">
        <v>1764</v>
      </c>
      <c r="BH221" s="445"/>
      <c r="BI221" s="491"/>
      <c r="BJ221" s="491">
        <v>3</v>
      </c>
      <c r="BK221" s="445" t="s">
        <v>2916</v>
      </c>
      <c r="BL221" s="419" t="s">
        <v>2917</v>
      </c>
      <c r="BM221" s="445"/>
      <c r="BN221" s="419" t="s">
        <v>1765</v>
      </c>
      <c r="BO221" s="419" t="s">
        <v>1765</v>
      </c>
      <c r="BP221" s="419" t="s">
        <v>1765</v>
      </c>
      <c r="BQ221" s="419" t="s">
        <v>1269</v>
      </c>
      <c r="BR221" s="419"/>
      <c r="BS221" s="419"/>
      <c r="BT221" s="445"/>
      <c r="BU221" s="445"/>
      <c r="BV221" s="445"/>
      <c r="BW221" s="445" t="s">
        <v>2106</v>
      </c>
      <c r="BX221" s="445"/>
      <c r="BY221" s="445"/>
    </row>
    <row r="222" spans="1:77" ht="15">
      <c r="A222" s="370" t="s">
        <v>1269</v>
      </c>
      <c r="B222" s="415" t="s">
        <v>177</v>
      </c>
      <c r="C222" s="416" t="s">
        <v>1784</v>
      </c>
      <c r="D222" s="444">
        <v>0</v>
      </c>
      <c r="E222" s="415" t="s">
        <v>1716</v>
      </c>
      <c r="F222" s="444">
        <v>3</v>
      </c>
      <c r="G222" s="415" t="s">
        <v>1661</v>
      </c>
      <c r="H222" s="444">
        <v>78</v>
      </c>
      <c r="I222" s="417" t="s">
        <v>2086</v>
      </c>
      <c r="J222" s="444">
        <v>3.6</v>
      </c>
      <c r="K222" s="444">
        <v>123</v>
      </c>
      <c r="L222" s="444">
        <v>0</v>
      </c>
      <c r="M222" s="444">
        <v>0</v>
      </c>
      <c r="N222" s="444">
        <v>0</v>
      </c>
      <c r="O222" s="444">
        <v>0</v>
      </c>
      <c r="P222" s="444">
        <v>0</v>
      </c>
      <c r="Q222" s="444">
        <v>0</v>
      </c>
      <c r="R222" s="444">
        <v>0</v>
      </c>
      <c r="S222" s="444">
        <v>0</v>
      </c>
      <c r="T222" s="444">
        <v>0</v>
      </c>
      <c r="U222" s="444">
        <v>0</v>
      </c>
      <c r="V222" s="444">
        <v>0</v>
      </c>
      <c r="W222" s="444">
        <v>6</v>
      </c>
      <c r="X222" s="418"/>
      <c r="Y222" s="445"/>
      <c r="Z222" s="420"/>
      <c r="AA222" s="421">
        <v>304.02100000000002</v>
      </c>
      <c r="AB222" s="421">
        <v>29.978000000000002</v>
      </c>
      <c r="AC222" s="454">
        <v>6</v>
      </c>
      <c r="AE222" s="419" t="s">
        <v>2109</v>
      </c>
      <c r="AF222" s="454">
        <v>1</v>
      </c>
      <c r="AG222" s="429">
        <v>43101</v>
      </c>
      <c r="AJ222" s="430">
        <v>43192</v>
      </c>
      <c r="AL222" s="424" t="s">
        <v>1681</v>
      </c>
      <c r="AO222" s="445"/>
      <c r="AP222" s="454">
        <v>556635</v>
      </c>
      <c r="AQ222" s="431">
        <v>43102</v>
      </c>
      <c r="AT222" s="426"/>
      <c r="AU222" s="426"/>
      <c r="AV222" s="426"/>
      <c r="AY222" s="427" t="s">
        <v>1717</v>
      </c>
      <c r="AZ222" s="373"/>
      <c r="BB222" s="374" t="s">
        <v>1727</v>
      </c>
      <c r="BC222" s="445"/>
      <c r="BE222" s="448">
        <v>0</v>
      </c>
      <c r="BF222" s="449">
        <v>0</v>
      </c>
      <c r="BG222" s="428" t="s">
        <v>1764</v>
      </c>
      <c r="BH222" s="445"/>
      <c r="BI222" s="491"/>
      <c r="BJ222" s="491">
        <v>4</v>
      </c>
      <c r="BK222" s="445" t="s">
        <v>2918</v>
      </c>
      <c r="BL222" s="419" t="s">
        <v>2919</v>
      </c>
      <c r="BM222" s="445"/>
      <c r="BN222" s="419" t="s">
        <v>1765</v>
      </c>
      <c r="BO222" s="419" t="s">
        <v>1765</v>
      </c>
      <c r="BP222" s="419" t="s">
        <v>1765</v>
      </c>
      <c r="BQ222" s="419" t="s">
        <v>1269</v>
      </c>
      <c r="BR222" s="419"/>
      <c r="BS222" s="419"/>
      <c r="BT222" s="445"/>
      <c r="BU222" s="445"/>
      <c r="BV222" s="445"/>
      <c r="BW222" s="445" t="s">
        <v>2106</v>
      </c>
      <c r="BX222" s="445"/>
      <c r="BY222" s="445"/>
    </row>
    <row r="223" spans="1:77" ht="15">
      <c r="A223" s="370" t="s">
        <v>1783</v>
      </c>
      <c r="B223" s="415" t="s">
        <v>177</v>
      </c>
      <c r="C223" s="416" t="s">
        <v>1784</v>
      </c>
      <c r="D223" s="444">
        <v>0</v>
      </c>
      <c r="E223" s="415" t="s">
        <v>1716</v>
      </c>
      <c r="F223" s="444">
        <v>3</v>
      </c>
      <c r="G223" s="415" t="s">
        <v>1750</v>
      </c>
      <c r="H223" s="444">
        <v>51</v>
      </c>
      <c r="I223" s="417" t="s">
        <v>1685</v>
      </c>
      <c r="J223" s="444">
        <v>5.3</v>
      </c>
      <c r="K223" s="444">
        <v>0</v>
      </c>
      <c r="L223" s="444"/>
      <c r="M223" s="444">
        <v>0</v>
      </c>
      <c r="N223" s="444">
        <v>510</v>
      </c>
      <c r="O223" s="444"/>
      <c r="P223" s="444"/>
      <c r="Q223" s="444">
        <v>225</v>
      </c>
      <c r="R223" s="444"/>
      <c r="S223" s="444">
        <v>0</v>
      </c>
      <c r="T223" s="444">
        <v>0</v>
      </c>
      <c r="U223" s="444"/>
      <c r="V223" s="444">
        <v>0</v>
      </c>
      <c r="W223" s="444">
        <v>0</v>
      </c>
      <c r="X223" s="418"/>
      <c r="Y223" s="445"/>
      <c r="Z223" s="420"/>
      <c r="AA223" s="421">
        <v>178.65</v>
      </c>
      <c r="AB223" s="421"/>
      <c r="AC223" s="454">
        <v>23</v>
      </c>
      <c r="AE223" s="419" t="s">
        <v>2110</v>
      </c>
      <c r="AF223" s="454">
        <v>1</v>
      </c>
      <c r="AG223" s="429">
        <v>43101</v>
      </c>
      <c r="AJ223" s="430">
        <v>43192</v>
      </c>
      <c r="AL223" s="424" t="s">
        <v>1015</v>
      </c>
      <c r="AO223" s="445"/>
      <c r="AP223" s="454">
        <v>556635</v>
      </c>
      <c r="AQ223" s="431">
        <v>43102</v>
      </c>
      <c r="AR223" s="370">
        <v>0.3</v>
      </c>
      <c r="AT223" s="426"/>
      <c r="AU223" s="426"/>
      <c r="AV223" s="426"/>
      <c r="AY223" s="427" t="s">
        <v>1717</v>
      </c>
      <c r="AZ223" s="373"/>
      <c r="BB223" s="374" t="s">
        <v>1727</v>
      </c>
      <c r="BC223" s="445"/>
      <c r="BE223" s="448"/>
      <c r="BF223" s="449"/>
      <c r="BG223" s="428"/>
      <c r="BH223" s="445"/>
      <c r="BI223" s="491"/>
      <c r="BJ223" s="491">
        <v>5</v>
      </c>
      <c r="BK223" s="445" t="s">
        <v>2916</v>
      </c>
      <c r="BL223" s="419" t="s">
        <v>2917</v>
      </c>
      <c r="BM223" s="445"/>
      <c r="BN223" s="419"/>
      <c r="BO223" s="419"/>
      <c r="BP223" s="419"/>
      <c r="BQ223" s="419" t="s">
        <v>1783</v>
      </c>
      <c r="BR223" s="419">
        <v>5</v>
      </c>
      <c r="BS223" s="419"/>
      <c r="BT223" s="445"/>
      <c r="BU223" s="445"/>
      <c r="BV223" s="445"/>
      <c r="BW223" s="445" t="s">
        <v>2106</v>
      </c>
      <c r="BX223" s="445"/>
      <c r="BY223" s="445"/>
    </row>
    <row r="224" spans="1:77" ht="15">
      <c r="A224" s="370" t="s">
        <v>1783</v>
      </c>
      <c r="B224" s="415" t="s">
        <v>177</v>
      </c>
      <c r="C224" s="416" t="s">
        <v>1784</v>
      </c>
      <c r="D224" s="444">
        <v>0</v>
      </c>
      <c r="E224" s="415" t="s">
        <v>1716</v>
      </c>
      <c r="F224" s="444">
        <v>3</v>
      </c>
      <c r="G224" s="415" t="s">
        <v>1750</v>
      </c>
      <c r="H224" s="444">
        <v>61</v>
      </c>
      <c r="I224" s="417" t="s">
        <v>1694</v>
      </c>
      <c r="J224" s="444">
        <v>1.8</v>
      </c>
      <c r="K224" s="444">
        <v>0</v>
      </c>
      <c r="L224" s="444"/>
      <c r="M224" s="444">
        <v>0</v>
      </c>
      <c r="N224" s="444">
        <v>290</v>
      </c>
      <c r="O224" s="444"/>
      <c r="P224" s="444"/>
      <c r="Q224" s="444">
        <v>0</v>
      </c>
      <c r="R224" s="444"/>
      <c r="S224" s="444">
        <v>0</v>
      </c>
      <c r="T224" s="444">
        <v>0</v>
      </c>
      <c r="U224" s="444"/>
      <c r="V224" s="444">
        <v>0</v>
      </c>
      <c r="W224" s="444">
        <v>0</v>
      </c>
      <c r="X224" s="418"/>
      <c r="Y224" s="445"/>
      <c r="Z224" s="420"/>
      <c r="AA224" s="421">
        <v>194.9</v>
      </c>
      <c r="AB224" s="421"/>
      <c r="AC224" s="454">
        <v>23</v>
      </c>
      <c r="AE224" s="419" t="s">
        <v>2111</v>
      </c>
      <c r="AF224" s="454">
        <v>1</v>
      </c>
      <c r="AG224" s="429">
        <v>43101</v>
      </c>
      <c r="AJ224" s="430">
        <v>43192</v>
      </c>
      <c r="AL224" s="424" t="s">
        <v>1681</v>
      </c>
      <c r="AO224" s="445"/>
      <c r="AP224" s="454">
        <v>556635</v>
      </c>
      <c r="AQ224" s="431">
        <v>43102</v>
      </c>
      <c r="AR224" s="370">
        <v>0.3</v>
      </c>
      <c r="AT224" s="426"/>
      <c r="AU224" s="426"/>
      <c r="AV224" s="426"/>
      <c r="AY224" s="427" t="s">
        <v>1717</v>
      </c>
      <c r="AZ224" s="373"/>
      <c r="BB224" s="374" t="s">
        <v>1727</v>
      </c>
      <c r="BC224" s="445"/>
      <c r="BE224" s="448"/>
      <c r="BF224" s="449"/>
      <c r="BG224" s="428"/>
      <c r="BH224" s="445"/>
      <c r="BI224" s="491"/>
      <c r="BJ224" s="491">
        <v>6</v>
      </c>
      <c r="BK224" s="445" t="s">
        <v>2920</v>
      </c>
      <c r="BL224" s="419" t="s">
        <v>2921</v>
      </c>
      <c r="BM224" s="445"/>
      <c r="BN224" s="419"/>
      <c r="BO224" s="419"/>
      <c r="BP224" s="419"/>
      <c r="BQ224" s="419" t="s">
        <v>1783</v>
      </c>
      <c r="BR224" s="419">
        <v>5</v>
      </c>
      <c r="BS224" s="419"/>
      <c r="BT224" s="445"/>
      <c r="BU224" s="445"/>
      <c r="BV224" s="445"/>
      <c r="BW224" s="445" t="s">
        <v>2106</v>
      </c>
      <c r="BX224" s="445"/>
      <c r="BY224" s="445"/>
    </row>
    <row r="225" spans="1:77" ht="15">
      <c r="A225" s="370" t="s">
        <v>1783</v>
      </c>
      <c r="B225" s="415" t="s">
        <v>177</v>
      </c>
      <c r="C225" s="416" t="s">
        <v>1784</v>
      </c>
      <c r="D225" s="444">
        <v>0</v>
      </c>
      <c r="E225" s="415" t="s">
        <v>1716</v>
      </c>
      <c r="F225" s="444">
        <v>3</v>
      </c>
      <c r="G225" s="415" t="s">
        <v>1750</v>
      </c>
      <c r="H225" s="444">
        <v>78</v>
      </c>
      <c r="I225" s="417" t="s">
        <v>2086</v>
      </c>
      <c r="J225" s="444">
        <v>3.6</v>
      </c>
      <c r="K225" s="444">
        <v>0</v>
      </c>
      <c r="L225" s="444"/>
      <c r="M225" s="444">
        <v>0</v>
      </c>
      <c r="N225" s="444">
        <v>80</v>
      </c>
      <c r="O225" s="444"/>
      <c r="P225" s="444"/>
      <c r="Q225" s="444">
        <v>908.33</v>
      </c>
      <c r="R225" s="444"/>
      <c r="S225" s="444">
        <v>0</v>
      </c>
      <c r="T225" s="444">
        <v>0</v>
      </c>
      <c r="U225" s="444"/>
      <c r="V225" s="444">
        <v>0</v>
      </c>
      <c r="W225" s="444">
        <v>0</v>
      </c>
      <c r="X225" s="418"/>
      <c r="Y225" s="445"/>
      <c r="Z225" s="420"/>
      <c r="AA225" s="421">
        <v>124.4</v>
      </c>
      <c r="AB225" s="421"/>
      <c r="AC225" s="454">
        <v>23</v>
      </c>
      <c r="AE225" s="419" t="s">
        <v>2112</v>
      </c>
      <c r="AF225" s="454">
        <v>1</v>
      </c>
      <c r="AG225" s="429">
        <v>43101</v>
      </c>
      <c r="AJ225" s="430">
        <v>43192</v>
      </c>
      <c r="AL225" s="424" t="s">
        <v>1681</v>
      </c>
      <c r="AO225" s="445"/>
      <c r="AP225" s="454">
        <v>556635</v>
      </c>
      <c r="AQ225" s="431">
        <v>43102</v>
      </c>
      <c r="AR225" s="370">
        <v>0.3</v>
      </c>
      <c r="AT225" s="426"/>
      <c r="AU225" s="426"/>
      <c r="AV225" s="426"/>
      <c r="AY225" s="427" t="s">
        <v>1717</v>
      </c>
      <c r="AZ225" s="373"/>
      <c r="BB225" s="374" t="s">
        <v>1727</v>
      </c>
      <c r="BC225" s="445"/>
      <c r="BE225" s="448"/>
      <c r="BF225" s="449"/>
      <c r="BG225" s="428"/>
      <c r="BH225" s="445"/>
      <c r="BI225" s="491"/>
      <c r="BJ225" s="491">
        <v>7</v>
      </c>
      <c r="BK225" s="445" t="s">
        <v>2918</v>
      </c>
      <c r="BL225" s="419" t="s">
        <v>2919</v>
      </c>
      <c r="BM225" s="445"/>
      <c r="BN225" s="419"/>
      <c r="BO225" s="419"/>
      <c r="BP225" s="419"/>
      <c r="BQ225" s="419" t="s">
        <v>1783</v>
      </c>
      <c r="BR225" s="419">
        <v>5</v>
      </c>
      <c r="BS225" s="419"/>
      <c r="BT225" s="445"/>
      <c r="BU225" s="445"/>
      <c r="BV225" s="445"/>
      <c r="BW225" s="445" t="s">
        <v>2106</v>
      </c>
      <c r="BX225" s="445"/>
      <c r="BY225" s="445"/>
    </row>
    <row r="226" spans="1:77" ht="15">
      <c r="A226" s="370" t="s">
        <v>1269</v>
      </c>
      <c r="B226" s="415" t="s">
        <v>132</v>
      </c>
      <c r="C226" s="416" t="s">
        <v>1619</v>
      </c>
      <c r="D226" s="444">
        <v>0</v>
      </c>
      <c r="E226" s="415" t="s">
        <v>1716</v>
      </c>
      <c r="F226" s="444">
        <v>3</v>
      </c>
      <c r="G226" s="415" t="s">
        <v>1661</v>
      </c>
      <c r="H226" s="444">
        <v>44</v>
      </c>
      <c r="I226" s="417" t="s">
        <v>1687</v>
      </c>
      <c r="J226" s="444">
        <v>5.5</v>
      </c>
      <c r="K226" s="444">
        <v>539</v>
      </c>
      <c r="L226" s="444">
        <v>0</v>
      </c>
      <c r="M226" s="444">
        <v>0</v>
      </c>
      <c r="N226" s="444">
        <v>68</v>
      </c>
      <c r="O226" s="444">
        <v>0</v>
      </c>
      <c r="P226" s="444">
        <v>0</v>
      </c>
      <c r="Q226" s="444">
        <v>0</v>
      </c>
      <c r="R226" s="444">
        <v>0</v>
      </c>
      <c r="S226" s="444">
        <v>0</v>
      </c>
      <c r="T226" s="444">
        <v>0</v>
      </c>
      <c r="U226" s="444">
        <v>0</v>
      </c>
      <c r="V226" s="444">
        <v>0</v>
      </c>
      <c r="W226" s="444">
        <v>201</v>
      </c>
      <c r="X226" s="418"/>
      <c r="Y226" s="445"/>
      <c r="Z226" s="420"/>
      <c r="AA226" s="421">
        <v>71.66</v>
      </c>
      <c r="AB226" s="421">
        <v>29.978000000000002</v>
      </c>
      <c r="AC226" s="454">
        <v>20</v>
      </c>
      <c r="AE226" s="419" t="s">
        <v>2113</v>
      </c>
      <c r="AF226" s="454">
        <v>1</v>
      </c>
      <c r="AG226" s="429">
        <v>43101</v>
      </c>
      <c r="AJ226" s="430">
        <v>43192</v>
      </c>
      <c r="AL226" s="424" t="s">
        <v>924</v>
      </c>
      <c r="AO226" s="445"/>
      <c r="AP226" s="454">
        <v>556635</v>
      </c>
      <c r="AQ226" s="431">
        <v>43102</v>
      </c>
      <c r="AT226" s="426"/>
      <c r="AU226" s="426"/>
      <c r="AV226" s="426"/>
      <c r="AY226" s="427" t="s">
        <v>1720</v>
      </c>
      <c r="AZ226" s="373"/>
      <c r="BB226" s="374" t="s">
        <v>1726</v>
      </c>
      <c r="BC226" s="445"/>
      <c r="BE226" s="448">
        <v>0</v>
      </c>
      <c r="BF226" s="449">
        <v>0</v>
      </c>
      <c r="BG226" s="428" t="s">
        <v>1764</v>
      </c>
      <c r="BH226" s="445"/>
      <c r="BI226" s="491"/>
      <c r="BJ226" s="491">
        <v>3</v>
      </c>
      <c r="BK226" s="445" t="s">
        <v>2922</v>
      </c>
      <c r="BL226" s="419" t="s">
        <v>2923</v>
      </c>
      <c r="BM226" s="445"/>
      <c r="BN226" s="419" t="s">
        <v>1765</v>
      </c>
      <c r="BO226" s="419" t="s">
        <v>1765</v>
      </c>
      <c r="BP226" s="419" t="s">
        <v>1765</v>
      </c>
      <c r="BQ226" s="419" t="s">
        <v>1269</v>
      </c>
      <c r="BR226" s="419"/>
      <c r="BS226" s="419"/>
      <c r="BT226" s="445"/>
      <c r="BU226" s="445"/>
      <c r="BV226" s="445"/>
      <c r="BW226" s="445" t="s">
        <v>2106</v>
      </c>
      <c r="BX226" s="445"/>
      <c r="BY226" s="445"/>
    </row>
    <row r="227" spans="1:77" ht="15">
      <c r="A227" s="370" t="s">
        <v>1269</v>
      </c>
      <c r="B227" s="415" t="s">
        <v>132</v>
      </c>
      <c r="C227" s="416" t="s">
        <v>1619</v>
      </c>
      <c r="D227" s="444">
        <v>0</v>
      </c>
      <c r="E227" s="415" t="s">
        <v>1716</v>
      </c>
      <c r="F227" s="444">
        <v>3</v>
      </c>
      <c r="G227" s="415" t="s">
        <v>1661</v>
      </c>
      <c r="H227" s="444">
        <v>53</v>
      </c>
      <c r="I227" s="417" t="s">
        <v>1692</v>
      </c>
      <c r="J227" s="444">
        <v>8.1</v>
      </c>
      <c r="K227" s="444">
        <v>589</v>
      </c>
      <c r="L227" s="444">
        <v>0</v>
      </c>
      <c r="M227" s="444">
        <v>0</v>
      </c>
      <c r="N227" s="444">
        <v>73</v>
      </c>
      <c r="O227" s="444">
        <v>0</v>
      </c>
      <c r="P227" s="444">
        <v>0</v>
      </c>
      <c r="Q227" s="444">
        <v>0</v>
      </c>
      <c r="R227" s="444">
        <v>0</v>
      </c>
      <c r="S227" s="444">
        <v>0</v>
      </c>
      <c r="T227" s="444">
        <v>0</v>
      </c>
      <c r="U227" s="444">
        <v>0</v>
      </c>
      <c r="V227" s="444">
        <v>0</v>
      </c>
      <c r="W227" s="444">
        <v>290</v>
      </c>
      <c r="X227" s="418"/>
      <c r="Y227" s="445"/>
      <c r="Z227" s="420"/>
      <c r="AA227" s="421">
        <v>69.978999999999999</v>
      </c>
      <c r="AB227" s="421">
        <v>29.978000000000002</v>
      </c>
      <c r="AC227" s="454">
        <v>26</v>
      </c>
      <c r="AE227" s="419" t="s">
        <v>2114</v>
      </c>
      <c r="AF227" s="454">
        <v>1</v>
      </c>
      <c r="AG227" s="429">
        <v>43101</v>
      </c>
      <c r="AJ227" s="430">
        <v>43192</v>
      </c>
      <c r="AL227" s="424" t="s">
        <v>1012</v>
      </c>
      <c r="AO227" s="445"/>
      <c r="AP227" s="454">
        <v>556635</v>
      </c>
      <c r="AQ227" s="431">
        <v>43102</v>
      </c>
      <c r="AT227" s="426"/>
      <c r="AU227" s="426"/>
      <c r="AV227" s="426"/>
      <c r="AY227" s="427" t="s">
        <v>1720</v>
      </c>
      <c r="AZ227" s="373"/>
      <c r="BB227" s="374" t="s">
        <v>1726</v>
      </c>
      <c r="BC227" s="445"/>
      <c r="BE227" s="448">
        <v>0</v>
      </c>
      <c r="BF227" s="449">
        <v>0</v>
      </c>
      <c r="BG227" s="428" t="s">
        <v>1764</v>
      </c>
      <c r="BH227" s="445"/>
      <c r="BI227" s="491"/>
      <c r="BJ227" s="491">
        <v>4</v>
      </c>
      <c r="BK227" s="445" t="s">
        <v>2924</v>
      </c>
      <c r="BL227" s="419" t="s">
        <v>2925</v>
      </c>
      <c r="BM227" s="445"/>
      <c r="BN227" s="419" t="s">
        <v>1765</v>
      </c>
      <c r="BO227" s="419" t="s">
        <v>1765</v>
      </c>
      <c r="BP227" s="419" t="s">
        <v>1765</v>
      </c>
      <c r="BQ227" s="419" t="s">
        <v>1269</v>
      </c>
      <c r="BR227" s="419"/>
      <c r="BS227" s="419"/>
      <c r="BT227" s="445"/>
      <c r="BU227" s="445"/>
      <c r="BV227" s="445"/>
      <c r="BW227" s="445" t="s">
        <v>2106</v>
      </c>
      <c r="BX227" s="445"/>
      <c r="BY227" s="445"/>
    </row>
    <row r="228" spans="1:77" ht="15">
      <c r="A228" s="370" t="s">
        <v>1269</v>
      </c>
      <c r="B228" s="415" t="s">
        <v>132</v>
      </c>
      <c r="C228" s="416" t="s">
        <v>1784</v>
      </c>
      <c r="D228" s="444">
        <v>0</v>
      </c>
      <c r="E228" s="415" t="s">
        <v>1716</v>
      </c>
      <c r="F228" s="444">
        <v>3</v>
      </c>
      <c r="G228" s="415" t="s">
        <v>1661</v>
      </c>
      <c r="H228" s="444">
        <v>35</v>
      </c>
      <c r="I228" s="417" t="s">
        <v>1659</v>
      </c>
      <c r="J228" s="444">
        <v>2.1</v>
      </c>
      <c r="K228" s="444">
        <v>219</v>
      </c>
      <c r="L228" s="444">
        <v>0</v>
      </c>
      <c r="M228" s="444">
        <v>0</v>
      </c>
      <c r="N228" s="444">
        <v>0</v>
      </c>
      <c r="O228" s="444">
        <v>0</v>
      </c>
      <c r="P228" s="444">
        <v>0</v>
      </c>
      <c r="Q228" s="444">
        <v>0</v>
      </c>
      <c r="R228" s="444">
        <v>0</v>
      </c>
      <c r="S228" s="444">
        <v>0</v>
      </c>
      <c r="T228" s="444">
        <v>0</v>
      </c>
      <c r="U228" s="444">
        <v>0</v>
      </c>
      <c r="V228" s="444">
        <v>0</v>
      </c>
      <c r="W228" s="444">
        <v>13</v>
      </c>
      <c r="X228" s="418"/>
      <c r="Y228" s="445"/>
      <c r="Z228" s="420"/>
      <c r="AA228" s="421">
        <v>221.85300000000001</v>
      </c>
      <c r="AB228" s="421">
        <v>29.978000000000002</v>
      </c>
      <c r="AC228" s="454">
        <v>33</v>
      </c>
      <c r="AE228" s="419" t="s">
        <v>2115</v>
      </c>
      <c r="AF228" s="454">
        <v>1</v>
      </c>
      <c r="AG228" s="429">
        <v>43101</v>
      </c>
      <c r="AJ228" s="430">
        <v>43192</v>
      </c>
      <c r="AL228" s="424" t="s">
        <v>924</v>
      </c>
      <c r="AO228" s="445"/>
      <c r="AP228" s="454">
        <v>556633</v>
      </c>
      <c r="AQ228" s="431">
        <v>43102</v>
      </c>
      <c r="AT228" s="426"/>
      <c r="AU228" s="426"/>
      <c r="AV228" s="426"/>
      <c r="AY228" s="427" t="s">
        <v>1720</v>
      </c>
      <c r="AZ228" s="373"/>
      <c r="BB228" s="374" t="s">
        <v>1726</v>
      </c>
      <c r="BC228" s="445"/>
      <c r="BE228" s="448">
        <v>0</v>
      </c>
      <c r="BF228" s="449">
        <v>0</v>
      </c>
      <c r="BG228" s="428" t="s">
        <v>1764</v>
      </c>
      <c r="BH228" s="445"/>
      <c r="BI228" s="491"/>
      <c r="BJ228" s="491">
        <v>5</v>
      </c>
      <c r="BK228" s="445" t="s">
        <v>2926</v>
      </c>
      <c r="BL228" s="419" t="s">
        <v>2927</v>
      </c>
      <c r="BM228" s="445"/>
      <c r="BN228" s="419" t="s">
        <v>1765</v>
      </c>
      <c r="BO228" s="419" t="s">
        <v>1765</v>
      </c>
      <c r="BP228" s="419" t="s">
        <v>1765</v>
      </c>
      <c r="BQ228" s="419" t="s">
        <v>1269</v>
      </c>
      <c r="BR228" s="419"/>
      <c r="BS228" s="419"/>
      <c r="BT228" s="445"/>
      <c r="BU228" s="445"/>
      <c r="BV228" s="445"/>
      <c r="BW228" s="445" t="s">
        <v>2106</v>
      </c>
      <c r="BX228" s="445"/>
      <c r="BY228" s="445"/>
    </row>
    <row r="229" spans="1:77" ht="15">
      <c r="A229" s="370" t="s">
        <v>1269</v>
      </c>
      <c r="B229" s="415" t="s">
        <v>132</v>
      </c>
      <c r="C229" s="416" t="s">
        <v>1784</v>
      </c>
      <c r="D229" s="444">
        <v>0</v>
      </c>
      <c r="E229" s="415" t="s">
        <v>1716</v>
      </c>
      <c r="F229" s="444">
        <v>3</v>
      </c>
      <c r="G229" s="415" t="s">
        <v>1661</v>
      </c>
      <c r="H229" s="444">
        <v>35</v>
      </c>
      <c r="I229" s="417" t="s">
        <v>1659</v>
      </c>
      <c r="J229" s="444">
        <v>2.1</v>
      </c>
      <c r="K229" s="444">
        <v>219</v>
      </c>
      <c r="L229" s="444">
        <v>0</v>
      </c>
      <c r="M229" s="444">
        <v>0</v>
      </c>
      <c r="N229" s="444">
        <v>0</v>
      </c>
      <c r="O229" s="444">
        <v>0</v>
      </c>
      <c r="P229" s="444">
        <v>0</v>
      </c>
      <c r="Q229" s="444">
        <v>0</v>
      </c>
      <c r="R229" s="444">
        <v>0</v>
      </c>
      <c r="S229" s="444">
        <v>0</v>
      </c>
      <c r="T229" s="444">
        <v>0</v>
      </c>
      <c r="U229" s="444">
        <v>0</v>
      </c>
      <c r="V229" s="444">
        <v>0</v>
      </c>
      <c r="W229" s="444">
        <v>13</v>
      </c>
      <c r="X229" s="418"/>
      <c r="Y229" s="445"/>
      <c r="Z229" s="420"/>
      <c r="AA229" s="421">
        <v>221.85300000000001</v>
      </c>
      <c r="AB229" s="421">
        <v>29.978000000000002</v>
      </c>
      <c r="AC229" s="454">
        <v>33</v>
      </c>
      <c r="AE229" s="419" t="s">
        <v>2115</v>
      </c>
      <c r="AF229" s="454">
        <v>1</v>
      </c>
      <c r="AG229" s="429">
        <v>43101</v>
      </c>
      <c r="AJ229" s="430">
        <v>43192</v>
      </c>
      <c r="AL229" s="424" t="s">
        <v>924</v>
      </c>
      <c r="AO229" s="445"/>
      <c r="AP229" s="454">
        <v>556633</v>
      </c>
      <c r="AQ229" s="431">
        <v>43102</v>
      </c>
      <c r="AT229" s="426"/>
      <c r="AU229" s="426"/>
      <c r="AV229" s="426"/>
      <c r="AY229" s="427" t="s">
        <v>1720</v>
      </c>
      <c r="AZ229" s="373"/>
      <c r="BB229" s="374" t="s">
        <v>1726</v>
      </c>
      <c r="BC229" s="445"/>
      <c r="BE229" s="448">
        <v>0</v>
      </c>
      <c r="BF229" s="449">
        <v>0</v>
      </c>
      <c r="BG229" s="428" t="s">
        <v>1764</v>
      </c>
      <c r="BH229" s="445"/>
      <c r="BI229" s="491"/>
      <c r="BJ229" s="491">
        <v>5</v>
      </c>
      <c r="BK229" s="445" t="s">
        <v>2926</v>
      </c>
      <c r="BL229" s="419" t="s">
        <v>2927</v>
      </c>
      <c r="BM229" s="445"/>
      <c r="BN229" s="419" t="s">
        <v>1765</v>
      </c>
      <c r="BO229" s="419" t="s">
        <v>1765</v>
      </c>
      <c r="BP229" s="419" t="s">
        <v>1765</v>
      </c>
      <c r="BQ229" s="419" t="s">
        <v>1269</v>
      </c>
      <c r="BR229" s="419"/>
      <c r="BS229" s="419"/>
      <c r="BT229" s="445"/>
      <c r="BU229" s="445"/>
      <c r="BV229" s="445"/>
      <c r="BW229" s="445" t="s">
        <v>2116</v>
      </c>
      <c r="BX229" s="445"/>
      <c r="BY229" s="445"/>
    </row>
    <row r="230" spans="1:77" ht="15">
      <c r="A230" s="370" t="s">
        <v>31</v>
      </c>
      <c r="B230" s="415" t="s">
        <v>19</v>
      </c>
      <c r="C230" s="416" t="s">
        <v>31</v>
      </c>
      <c r="D230" s="444">
        <v>0</v>
      </c>
      <c r="E230" s="415" t="s">
        <v>1716</v>
      </c>
      <c r="F230" s="444">
        <v>2</v>
      </c>
      <c r="G230" s="415" t="s">
        <v>1661</v>
      </c>
      <c r="H230" s="444">
        <v>113</v>
      </c>
      <c r="I230" s="417" t="s">
        <v>1686</v>
      </c>
      <c r="J230" s="444">
        <v>0.9</v>
      </c>
      <c r="K230" s="444">
        <v>523</v>
      </c>
      <c r="L230" s="444">
        <v>0</v>
      </c>
      <c r="M230" s="444">
        <v>3</v>
      </c>
      <c r="N230" s="444">
        <v>67</v>
      </c>
      <c r="O230" s="444">
        <v>0</v>
      </c>
      <c r="P230" s="444">
        <v>0</v>
      </c>
      <c r="Q230" s="444">
        <v>10</v>
      </c>
      <c r="R230" s="444">
        <v>3</v>
      </c>
      <c r="S230" s="444">
        <v>20</v>
      </c>
      <c r="T230" s="444">
        <v>77</v>
      </c>
      <c r="U230" s="444">
        <v>1</v>
      </c>
      <c r="V230" s="444">
        <v>17</v>
      </c>
      <c r="W230" s="444">
        <v>53</v>
      </c>
      <c r="X230" s="418"/>
      <c r="Y230" s="445"/>
      <c r="Z230" s="420"/>
      <c r="AA230" s="421">
        <v>86.477999999999994</v>
      </c>
      <c r="AB230" s="421">
        <v>38.881</v>
      </c>
      <c r="AC230" s="454">
        <v>19</v>
      </c>
      <c r="AE230" s="419" t="s">
        <v>2117</v>
      </c>
      <c r="AF230" s="454">
        <v>1</v>
      </c>
      <c r="AG230" s="429">
        <v>43101</v>
      </c>
      <c r="AJ230" s="430">
        <v>43210</v>
      </c>
      <c r="AL230" s="424" t="s">
        <v>927</v>
      </c>
      <c r="AO230" s="445"/>
      <c r="AP230" s="454">
        <v>556620</v>
      </c>
      <c r="AQ230" s="431">
        <v>43077</v>
      </c>
      <c r="AT230" s="426"/>
      <c r="AU230" s="426"/>
      <c r="AV230" s="426"/>
      <c r="AY230" s="427" t="s">
        <v>1720</v>
      </c>
      <c r="AZ230" s="373"/>
      <c r="BB230" s="374" t="s">
        <v>1726</v>
      </c>
      <c r="BC230" s="445"/>
      <c r="BE230" s="448">
        <v>5</v>
      </c>
      <c r="BF230" s="449">
        <v>20</v>
      </c>
      <c r="BG230" s="428" t="s">
        <v>1764</v>
      </c>
      <c r="BH230" s="445"/>
      <c r="BI230" s="491"/>
      <c r="BJ230" s="491">
        <v>1</v>
      </c>
      <c r="BK230" s="445" t="s">
        <v>2928</v>
      </c>
      <c r="BL230" s="419" t="s">
        <v>2929</v>
      </c>
      <c r="BM230" s="445"/>
      <c r="BN230" s="419" t="s">
        <v>1765</v>
      </c>
      <c r="BO230" s="419" t="s">
        <v>1765</v>
      </c>
      <c r="BP230" s="419" t="s">
        <v>1765</v>
      </c>
      <c r="BQ230" s="419" t="s">
        <v>31</v>
      </c>
      <c r="BR230" s="419"/>
      <c r="BS230" s="419"/>
      <c r="BT230" s="445"/>
      <c r="BU230" s="445"/>
      <c r="BV230" s="445"/>
      <c r="BW230" s="445" t="s">
        <v>2116</v>
      </c>
      <c r="BX230" s="445"/>
      <c r="BY230" s="445"/>
    </row>
    <row r="231" spans="1:77" ht="15">
      <c r="A231" s="370" t="s">
        <v>31</v>
      </c>
      <c r="B231" s="415" t="s">
        <v>19</v>
      </c>
      <c r="C231" s="416" t="s">
        <v>31</v>
      </c>
      <c r="D231" s="444">
        <v>0</v>
      </c>
      <c r="E231" s="415" t="s">
        <v>1716</v>
      </c>
      <c r="F231" s="444">
        <v>3</v>
      </c>
      <c r="G231" s="415" t="s">
        <v>1661</v>
      </c>
      <c r="H231" s="444">
        <v>115</v>
      </c>
      <c r="I231" s="417" t="s">
        <v>1768</v>
      </c>
      <c r="J231" s="444">
        <v>0.3</v>
      </c>
      <c r="K231" s="444">
        <v>206</v>
      </c>
      <c r="L231" s="444">
        <v>0</v>
      </c>
      <c r="M231" s="444">
        <v>1</v>
      </c>
      <c r="N231" s="444">
        <v>18</v>
      </c>
      <c r="O231" s="444">
        <v>0</v>
      </c>
      <c r="P231" s="444">
        <v>0</v>
      </c>
      <c r="Q231" s="444">
        <v>0</v>
      </c>
      <c r="R231" s="444">
        <v>0</v>
      </c>
      <c r="S231" s="444">
        <v>13</v>
      </c>
      <c r="T231" s="444">
        <v>27</v>
      </c>
      <c r="U231" s="444">
        <v>0</v>
      </c>
      <c r="V231" s="444">
        <v>11</v>
      </c>
      <c r="W231" s="444">
        <v>18</v>
      </c>
      <c r="X231" s="418"/>
      <c r="Y231" s="445"/>
      <c r="Z231" s="420"/>
      <c r="AA231" s="421">
        <v>91.617000000000004</v>
      </c>
      <c r="AB231" s="421">
        <v>41.021999999999998</v>
      </c>
      <c r="AC231" s="454">
        <v>8</v>
      </c>
      <c r="AE231" s="419" t="s">
        <v>2118</v>
      </c>
      <c r="AF231" s="454">
        <v>1</v>
      </c>
      <c r="AG231" s="429">
        <v>43101</v>
      </c>
      <c r="AJ231" s="430">
        <v>43210</v>
      </c>
      <c r="AL231" s="424" t="s">
        <v>927</v>
      </c>
      <c r="AO231" s="445"/>
      <c r="AP231" s="454">
        <v>556620</v>
      </c>
      <c r="AQ231" s="431">
        <v>43077</v>
      </c>
      <c r="AT231" s="426"/>
      <c r="AU231" s="426"/>
      <c r="AV231" s="426"/>
      <c r="AY231" s="427" t="s">
        <v>1720</v>
      </c>
      <c r="AZ231" s="373"/>
      <c r="BB231" s="374" t="s">
        <v>1726</v>
      </c>
      <c r="BC231" s="445"/>
      <c r="BE231" s="448">
        <v>5</v>
      </c>
      <c r="BF231" s="449">
        <v>20</v>
      </c>
      <c r="BG231" s="428" t="s">
        <v>1764</v>
      </c>
      <c r="BH231" s="445"/>
      <c r="BI231" s="491"/>
      <c r="BJ231" s="491">
        <v>2</v>
      </c>
      <c r="BK231" s="445" t="s">
        <v>2930</v>
      </c>
      <c r="BL231" s="419" t="s">
        <v>2931</v>
      </c>
      <c r="BM231" s="445"/>
      <c r="BN231" s="419" t="s">
        <v>1765</v>
      </c>
      <c r="BO231" s="419" t="s">
        <v>1765</v>
      </c>
      <c r="BP231" s="419" t="s">
        <v>1765</v>
      </c>
      <c r="BQ231" s="419" t="s">
        <v>31</v>
      </c>
      <c r="BR231" s="419"/>
      <c r="BS231" s="419"/>
      <c r="BT231" s="445"/>
      <c r="BU231" s="445"/>
      <c r="BV231" s="445"/>
      <c r="BW231" s="445" t="s">
        <v>2119</v>
      </c>
      <c r="BX231" s="445"/>
      <c r="BY231" s="445"/>
    </row>
    <row r="232" spans="1:77" ht="15">
      <c r="A232" s="370" t="s">
        <v>1783</v>
      </c>
      <c r="B232" s="415" t="s">
        <v>132</v>
      </c>
      <c r="C232" s="416" t="s">
        <v>1784</v>
      </c>
      <c r="D232" s="444">
        <v>0</v>
      </c>
      <c r="E232" s="415" t="s">
        <v>1716</v>
      </c>
      <c r="F232" s="444">
        <v>3</v>
      </c>
      <c r="G232" s="415" t="s">
        <v>1750</v>
      </c>
      <c r="H232" s="444">
        <v>44</v>
      </c>
      <c r="I232" s="417" t="s">
        <v>1683</v>
      </c>
      <c r="J232" s="444">
        <v>2.4</v>
      </c>
      <c r="K232" s="444">
        <v>0</v>
      </c>
      <c r="L232" s="444"/>
      <c r="M232" s="444">
        <v>0</v>
      </c>
      <c r="N232" s="444">
        <v>110</v>
      </c>
      <c r="O232" s="444"/>
      <c r="P232" s="444"/>
      <c r="Q232" s="444">
        <v>141.66999999999999</v>
      </c>
      <c r="R232" s="444"/>
      <c r="S232" s="444">
        <v>0</v>
      </c>
      <c r="T232" s="444">
        <v>80</v>
      </c>
      <c r="U232" s="444"/>
      <c r="V232" s="444">
        <v>0</v>
      </c>
      <c r="W232" s="444">
        <v>0</v>
      </c>
      <c r="X232" s="418"/>
      <c r="Y232" s="445"/>
      <c r="Z232" s="420"/>
      <c r="AA232" s="421">
        <v>141.26</v>
      </c>
      <c r="AB232" s="421"/>
      <c r="AC232" s="454">
        <v>23</v>
      </c>
      <c r="AE232" s="419" t="s">
        <v>2120</v>
      </c>
      <c r="AF232" s="454">
        <v>1</v>
      </c>
      <c r="AG232" s="429">
        <v>43101</v>
      </c>
      <c r="AJ232" s="430">
        <v>43192</v>
      </c>
      <c r="AL232" s="424" t="s">
        <v>924</v>
      </c>
      <c r="AO232" s="445"/>
      <c r="AP232" s="454">
        <v>556633</v>
      </c>
      <c r="AQ232" s="431">
        <v>43102</v>
      </c>
      <c r="AR232" s="370">
        <v>0.4</v>
      </c>
      <c r="AT232" s="426"/>
      <c r="AU232" s="426"/>
      <c r="AV232" s="426"/>
      <c r="AY232" s="427" t="s">
        <v>1720</v>
      </c>
      <c r="AZ232" s="373"/>
      <c r="BB232" s="374" t="s">
        <v>1726</v>
      </c>
      <c r="BC232" s="445"/>
      <c r="BE232" s="448"/>
      <c r="BF232" s="449"/>
      <c r="BG232" s="428"/>
      <c r="BH232" s="445"/>
      <c r="BI232" s="491"/>
      <c r="BJ232" s="491">
        <v>7</v>
      </c>
      <c r="BK232" s="445" t="s">
        <v>2932</v>
      </c>
      <c r="BL232" s="419" t="s">
        <v>2933</v>
      </c>
      <c r="BM232" s="445"/>
      <c r="BN232" s="419"/>
      <c r="BO232" s="419"/>
      <c r="BP232" s="419"/>
      <c r="BQ232" s="419" t="s">
        <v>1783</v>
      </c>
      <c r="BR232" s="419">
        <v>5</v>
      </c>
      <c r="BS232" s="419"/>
      <c r="BT232" s="445"/>
      <c r="BU232" s="445"/>
      <c r="BV232" s="445"/>
      <c r="BW232" s="445" t="s">
        <v>2119</v>
      </c>
      <c r="BX232" s="445"/>
      <c r="BY232" s="445"/>
    </row>
    <row r="233" spans="1:77" ht="15">
      <c r="A233" s="370" t="s">
        <v>1783</v>
      </c>
      <c r="B233" s="415" t="s">
        <v>132</v>
      </c>
      <c r="C233" s="416" t="s">
        <v>1784</v>
      </c>
      <c r="D233" s="444">
        <v>0</v>
      </c>
      <c r="E233" s="415" t="s">
        <v>1716</v>
      </c>
      <c r="F233" s="444">
        <v>3</v>
      </c>
      <c r="G233" s="415" t="s">
        <v>1750</v>
      </c>
      <c r="H233" s="444">
        <v>26</v>
      </c>
      <c r="I233" s="417" t="s">
        <v>1768</v>
      </c>
      <c r="J233" s="444">
        <v>1.2</v>
      </c>
      <c r="K233" s="444">
        <v>0</v>
      </c>
      <c r="L233" s="444"/>
      <c r="M233" s="444">
        <v>0</v>
      </c>
      <c r="N233" s="444">
        <v>0</v>
      </c>
      <c r="O233" s="444"/>
      <c r="P233" s="444"/>
      <c r="Q233" s="444">
        <v>216.67</v>
      </c>
      <c r="R233" s="444"/>
      <c r="S233" s="444">
        <v>0</v>
      </c>
      <c r="T233" s="444">
        <v>0</v>
      </c>
      <c r="U233" s="444"/>
      <c r="V233" s="444">
        <v>0</v>
      </c>
      <c r="W233" s="444">
        <v>0</v>
      </c>
      <c r="X233" s="418"/>
      <c r="Y233" s="445"/>
      <c r="Z233" s="420"/>
      <c r="AA233" s="421">
        <v>149.84</v>
      </c>
      <c r="AB233" s="421"/>
      <c r="AC233" s="454">
        <v>23</v>
      </c>
      <c r="AE233" s="419" t="s">
        <v>2121</v>
      </c>
      <c r="AF233" s="454">
        <v>1</v>
      </c>
      <c r="AG233" s="429">
        <v>43101</v>
      </c>
      <c r="AJ233" s="430">
        <v>43192</v>
      </c>
      <c r="AL233" s="424" t="s">
        <v>911</v>
      </c>
      <c r="AO233" s="445"/>
      <c r="AP233" s="454">
        <v>556633</v>
      </c>
      <c r="AQ233" s="431">
        <v>43102</v>
      </c>
      <c r="AR233" s="370">
        <v>0.4</v>
      </c>
      <c r="AT233" s="426"/>
      <c r="AU233" s="426"/>
      <c r="AV233" s="426"/>
      <c r="AY233" s="427" t="s">
        <v>1720</v>
      </c>
      <c r="AZ233" s="373"/>
      <c r="BB233" s="374" t="s">
        <v>1726</v>
      </c>
      <c r="BC233" s="445"/>
      <c r="BE233" s="448"/>
      <c r="BF233" s="449"/>
      <c r="BG233" s="428"/>
      <c r="BH233" s="445"/>
      <c r="BI233" s="491"/>
      <c r="BJ233" s="491">
        <v>8</v>
      </c>
      <c r="BK233" s="445" t="s">
        <v>1940</v>
      </c>
      <c r="BL233" s="419" t="s">
        <v>2703</v>
      </c>
      <c r="BM233" s="445"/>
      <c r="BN233" s="419"/>
      <c r="BO233" s="419"/>
      <c r="BP233" s="419"/>
      <c r="BQ233" s="419" t="s">
        <v>1783</v>
      </c>
      <c r="BR233" s="419">
        <v>5</v>
      </c>
      <c r="BS233" s="419"/>
      <c r="BT233" s="445"/>
      <c r="BU233" s="445"/>
      <c r="BV233" s="445"/>
      <c r="BW233" s="445" t="s">
        <v>2119</v>
      </c>
      <c r="BX233" s="445"/>
      <c r="BY233" s="445"/>
    </row>
    <row r="234" spans="1:77" ht="15">
      <c r="A234" s="370" t="s">
        <v>1783</v>
      </c>
      <c r="B234" s="415" t="s">
        <v>132</v>
      </c>
      <c r="C234" s="416" t="s">
        <v>1784</v>
      </c>
      <c r="D234" s="444">
        <v>0</v>
      </c>
      <c r="E234" s="415" t="s">
        <v>1716</v>
      </c>
      <c r="F234" s="444">
        <v>3</v>
      </c>
      <c r="G234" s="415" t="s">
        <v>1750</v>
      </c>
      <c r="H234" s="444">
        <v>35</v>
      </c>
      <c r="I234" s="417" t="s">
        <v>1659</v>
      </c>
      <c r="J234" s="444">
        <v>2.1</v>
      </c>
      <c r="K234" s="444">
        <v>0</v>
      </c>
      <c r="L234" s="444"/>
      <c r="M234" s="444">
        <v>0</v>
      </c>
      <c r="N234" s="444">
        <v>40</v>
      </c>
      <c r="O234" s="444"/>
      <c r="P234" s="444"/>
      <c r="Q234" s="444">
        <v>66.67</v>
      </c>
      <c r="R234" s="444"/>
      <c r="S234" s="444">
        <v>0</v>
      </c>
      <c r="T234" s="444">
        <v>105</v>
      </c>
      <c r="U234" s="444"/>
      <c r="V234" s="444">
        <v>0</v>
      </c>
      <c r="W234" s="444">
        <v>0</v>
      </c>
      <c r="X234" s="418"/>
      <c r="Y234" s="445"/>
      <c r="Z234" s="420"/>
      <c r="AA234" s="421">
        <v>151.68</v>
      </c>
      <c r="AB234" s="421"/>
      <c r="AC234" s="454">
        <v>23</v>
      </c>
      <c r="AE234" s="419" t="s">
        <v>2122</v>
      </c>
      <c r="AF234" s="454">
        <v>1</v>
      </c>
      <c r="AG234" s="429">
        <v>43101</v>
      </c>
      <c r="AJ234" s="430">
        <v>43192</v>
      </c>
      <c r="AL234" s="424" t="s">
        <v>924</v>
      </c>
      <c r="AO234" s="445"/>
      <c r="AP234" s="454">
        <v>556633</v>
      </c>
      <c r="AQ234" s="431">
        <v>43102</v>
      </c>
      <c r="AR234" s="370">
        <v>0.5</v>
      </c>
      <c r="AT234" s="426"/>
      <c r="AU234" s="426"/>
      <c r="AV234" s="426"/>
      <c r="AY234" s="427" t="s">
        <v>1720</v>
      </c>
      <c r="AZ234" s="373"/>
      <c r="BB234" s="374" t="s">
        <v>1726</v>
      </c>
      <c r="BC234" s="445"/>
      <c r="BE234" s="448"/>
      <c r="BF234" s="449"/>
      <c r="BG234" s="428"/>
      <c r="BH234" s="445"/>
      <c r="BI234" s="491"/>
      <c r="BJ234" s="491">
        <v>9</v>
      </c>
      <c r="BK234" s="445" t="s">
        <v>2926</v>
      </c>
      <c r="BL234" s="419" t="s">
        <v>2927</v>
      </c>
      <c r="BM234" s="445"/>
      <c r="BN234" s="419"/>
      <c r="BO234" s="419"/>
      <c r="BP234" s="419"/>
      <c r="BQ234" s="419" t="s">
        <v>1783</v>
      </c>
      <c r="BR234" s="419">
        <v>5</v>
      </c>
      <c r="BS234" s="419"/>
      <c r="BT234" s="445"/>
      <c r="BU234" s="445"/>
      <c r="BV234" s="445"/>
      <c r="BW234" s="445" t="s">
        <v>2119</v>
      </c>
      <c r="BX234" s="445"/>
      <c r="BY234" s="445"/>
    </row>
    <row r="235" spans="1:77" ht="15">
      <c r="A235" s="370" t="s">
        <v>1783</v>
      </c>
      <c r="B235" s="415" t="s">
        <v>132</v>
      </c>
      <c r="C235" s="416" t="s">
        <v>1784</v>
      </c>
      <c r="D235" s="444">
        <v>0</v>
      </c>
      <c r="E235" s="415" t="s">
        <v>1716</v>
      </c>
      <c r="F235" s="444">
        <v>3</v>
      </c>
      <c r="G235" s="415" t="s">
        <v>1750</v>
      </c>
      <c r="H235" s="444">
        <v>39</v>
      </c>
      <c r="I235" s="417" t="s">
        <v>1688</v>
      </c>
      <c r="J235" s="444">
        <v>5.6</v>
      </c>
      <c r="K235" s="444">
        <v>0</v>
      </c>
      <c r="L235" s="444"/>
      <c r="M235" s="444">
        <v>0</v>
      </c>
      <c r="N235" s="444">
        <v>0</v>
      </c>
      <c r="O235" s="444"/>
      <c r="P235" s="444"/>
      <c r="Q235" s="444">
        <v>441.67</v>
      </c>
      <c r="R235" s="444"/>
      <c r="S235" s="444">
        <v>0</v>
      </c>
      <c r="T235" s="444">
        <v>280</v>
      </c>
      <c r="U235" s="444"/>
      <c r="V235" s="444">
        <v>0</v>
      </c>
      <c r="W235" s="444">
        <v>0</v>
      </c>
      <c r="X235" s="418"/>
      <c r="Y235" s="445"/>
      <c r="Z235" s="420"/>
      <c r="AA235" s="421">
        <v>134.18</v>
      </c>
      <c r="AB235" s="421"/>
      <c r="AC235" s="454">
        <v>23</v>
      </c>
      <c r="AE235" s="419" t="s">
        <v>2123</v>
      </c>
      <c r="AF235" s="454">
        <v>1</v>
      </c>
      <c r="AG235" s="429">
        <v>43101</v>
      </c>
      <c r="AJ235" s="430">
        <v>43192</v>
      </c>
      <c r="AL235" s="424" t="s">
        <v>924</v>
      </c>
      <c r="AO235" s="445"/>
      <c r="AP235" s="454">
        <v>556633</v>
      </c>
      <c r="AQ235" s="431">
        <v>43102</v>
      </c>
      <c r="AR235" s="370">
        <v>0.5</v>
      </c>
      <c r="AT235" s="426"/>
      <c r="AU235" s="426"/>
      <c r="AV235" s="426"/>
      <c r="AY235" s="427" t="s">
        <v>1720</v>
      </c>
      <c r="AZ235" s="373"/>
      <c r="BB235" s="374" t="s">
        <v>1726</v>
      </c>
      <c r="BC235" s="445"/>
      <c r="BE235" s="448"/>
      <c r="BF235" s="449"/>
      <c r="BG235" s="428"/>
      <c r="BH235" s="445"/>
      <c r="BI235" s="491"/>
      <c r="BJ235" s="491">
        <v>10</v>
      </c>
      <c r="BK235" s="445" t="s">
        <v>2934</v>
      </c>
      <c r="BL235" s="419" t="s">
        <v>2935</v>
      </c>
      <c r="BM235" s="445"/>
      <c r="BN235" s="419"/>
      <c r="BO235" s="419"/>
      <c r="BP235" s="419"/>
      <c r="BQ235" s="419" t="s">
        <v>1783</v>
      </c>
      <c r="BR235" s="419">
        <v>5</v>
      </c>
      <c r="BS235" s="419"/>
      <c r="BT235" s="445"/>
      <c r="BU235" s="445"/>
      <c r="BV235" s="445"/>
      <c r="BW235" s="445" t="s">
        <v>2119</v>
      </c>
      <c r="BX235" s="445"/>
      <c r="BY235" s="445"/>
    </row>
    <row r="236" spans="1:77" ht="15">
      <c r="A236" s="370" t="s">
        <v>1783</v>
      </c>
      <c r="B236" s="415" t="s">
        <v>132</v>
      </c>
      <c r="C236" s="416" t="s">
        <v>1784</v>
      </c>
      <c r="D236" s="444">
        <v>0</v>
      </c>
      <c r="E236" s="415" t="s">
        <v>1716</v>
      </c>
      <c r="F236" s="444">
        <v>3</v>
      </c>
      <c r="G236" s="415" t="s">
        <v>1750</v>
      </c>
      <c r="H236" s="444">
        <v>39</v>
      </c>
      <c r="I236" s="417" t="s">
        <v>1688</v>
      </c>
      <c r="J236" s="444">
        <v>5.6</v>
      </c>
      <c r="K236" s="444">
        <v>0</v>
      </c>
      <c r="L236" s="444"/>
      <c r="M236" s="444">
        <v>0</v>
      </c>
      <c r="N236" s="444">
        <v>0</v>
      </c>
      <c r="O236" s="444"/>
      <c r="P236" s="444"/>
      <c r="Q236" s="444">
        <v>441.67</v>
      </c>
      <c r="R236" s="444"/>
      <c r="S236" s="444">
        <v>0</v>
      </c>
      <c r="T236" s="444">
        <v>280</v>
      </c>
      <c r="U236" s="444"/>
      <c r="V236" s="444">
        <v>0</v>
      </c>
      <c r="W236" s="444">
        <v>0</v>
      </c>
      <c r="X236" s="418"/>
      <c r="Y236" s="445"/>
      <c r="Z236" s="420"/>
      <c r="AA236" s="421">
        <v>134.18</v>
      </c>
      <c r="AB236" s="421"/>
      <c r="AC236" s="454">
        <v>23</v>
      </c>
      <c r="AE236" s="419" t="s">
        <v>2123</v>
      </c>
      <c r="AF236" s="454">
        <v>1</v>
      </c>
      <c r="AG236" s="429">
        <v>43101</v>
      </c>
      <c r="AJ236" s="430">
        <v>43192</v>
      </c>
      <c r="AL236" s="424" t="s">
        <v>924</v>
      </c>
      <c r="AO236" s="445"/>
      <c r="AP236" s="454">
        <v>556633</v>
      </c>
      <c r="AQ236" s="431">
        <v>43102</v>
      </c>
      <c r="AR236" s="370">
        <v>0.5</v>
      </c>
      <c r="AT236" s="426"/>
      <c r="AU236" s="426"/>
      <c r="AV236" s="426"/>
      <c r="AY236" s="427" t="s">
        <v>1720</v>
      </c>
      <c r="AZ236" s="373"/>
      <c r="BB236" s="374" t="s">
        <v>1726</v>
      </c>
      <c r="BC236" s="445"/>
      <c r="BE236" s="448"/>
      <c r="BF236" s="449"/>
      <c r="BG236" s="428"/>
      <c r="BH236" s="445"/>
      <c r="BI236" s="491"/>
      <c r="BJ236" s="491">
        <v>10</v>
      </c>
      <c r="BK236" s="445" t="s">
        <v>2934</v>
      </c>
      <c r="BL236" s="419" t="s">
        <v>2935</v>
      </c>
      <c r="BM236" s="445"/>
      <c r="BN236" s="419"/>
      <c r="BO236" s="419"/>
      <c r="BP236" s="419"/>
      <c r="BQ236" s="419" t="s">
        <v>1783</v>
      </c>
      <c r="BR236" s="419">
        <v>5</v>
      </c>
      <c r="BS236" s="419"/>
      <c r="BT236" s="445"/>
      <c r="BU236" s="445"/>
      <c r="BV236" s="445"/>
      <c r="BW236" s="445" t="s">
        <v>2119</v>
      </c>
      <c r="BX236" s="445"/>
      <c r="BY236" s="445"/>
    </row>
    <row r="237" spans="1:77" ht="15">
      <c r="A237" s="370" t="s">
        <v>1269</v>
      </c>
      <c r="B237" s="415" t="s">
        <v>296</v>
      </c>
      <c r="C237" s="416" t="s">
        <v>1619</v>
      </c>
      <c r="D237" s="444">
        <v>0</v>
      </c>
      <c r="E237" s="415" t="s">
        <v>1716</v>
      </c>
      <c r="F237" s="444">
        <v>3</v>
      </c>
      <c r="G237" s="415" t="s">
        <v>1661</v>
      </c>
      <c r="H237" s="444">
        <v>85</v>
      </c>
      <c r="I237" s="417" t="s">
        <v>1687</v>
      </c>
      <c r="J237" s="444">
        <v>3</v>
      </c>
      <c r="K237" s="444">
        <v>214</v>
      </c>
      <c r="L237" s="444">
        <v>0</v>
      </c>
      <c r="M237" s="444">
        <v>0</v>
      </c>
      <c r="N237" s="444">
        <v>35</v>
      </c>
      <c r="O237" s="444">
        <v>0</v>
      </c>
      <c r="P237" s="444">
        <v>0</v>
      </c>
      <c r="Q237" s="444">
        <v>0</v>
      </c>
      <c r="R237" s="444">
        <v>0</v>
      </c>
      <c r="S237" s="444">
        <v>0</v>
      </c>
      <c r="T237" s="444">
        <v>0</v>
      </c>
      <c r="U237" s="444">
        <v>7</v>
      </c>
      <c r="V237" s="444">
        <v>2</v>
      </c>
      <c r="W237" s="444">
        <v>128</v>
      </c>
      <c r="X237" s="418"/>
      <c r="Y237" s="445"/>
      <c r="Z237" s="420"/>
      <c r="AA237" s="421">
        <v>63.942999999999998</v>
      </c>
      <c r="AB237" s="421">
        <v>29.978000000000002</v>
      </c>
      <c r="AC237" s="454">
        <v>11</v>
      </c>
      <c r="AE237" s="419" t="s">
        <v>2124</v>
      </c>
      <c r="AF237" s="454">
        <v>1</v>
      </c>
      <c r="AG237" s="429">
        <v>43101</v>
      </c>
      <c r="AJ237" s="430">
        <v>43192</v>
      </c>
      <c r="AL237" s="424" t="s">
        <v>918</v>
      </c>
      <c r="AO237" s="445"/>
      <c r="AP237" s="454">
        <v>556629</v>
      </c>
      <c r="AQ237" s="431">
        <v>43102</v>
      </c>
      <c r="AT237" s="426"/>
      <c r="AU237" s="426"/>
      <c r="AV237" s="426"/>
      <c r="AY237" s="427" t="s">
        <v>1722</v>
      </c>
      <c r="AZ237" s="373"/>
      <c r="BB237" s="374" t="s">
        <v>1728</v>
      </c>
      <c r="BC237" s="445"/>
      <c r="BE237" s="448">
        <v>0</v>
      </c>
      <c r="BF237" s="449">
        <v>0</v>
      </c>
      <c r="BG237" s="428" t="s">
        <v>1764</v>
      </c>
      <c r="BH237" s="445"/>
      <c r="BI237" s="491"/>
      <c r="BJ237" s="491">
        <v>1</v>
      </c>
      <c r="BK237" s="445" t="s">
        <v>2936</v>
      </c>
      <c r="BL237" s="419" t="s">
        <v>2937</v>
      </c>
      <c r="BM237" s="445"/>
      <c r="BN237" s="419" t="s">
        <v>1765</v>
      </c>
      <c r="BO237" s="419" t="s">
        <v>1765</v>
      </c>
      <c r="BP237" s="419" t="s">
        <v>1765</v>
      </c>
      <c r="BQ237" s="419" t="s">
        <v>1269</v>
      </c>
      <c r="BR237" s="419"/>
      <c r="BS237" s="419"/>
      <c r="BT237" s="445"/>
      <c r="BU237" s="445"/>
      <c r="BV237" s="445"/>
      <c r="BW237" s="445" t="s">
        <v>2119</v>
      </c>
      <c r="BX237" s="445"/>
      <c r="BY237" s="445"/>
    </row>
    <row r="238" spans="1:77" ht="15">
      <c r="A238" s="370" t="s">
        <v>1783</v>
      </c>
      <c r="B238" s="415" t="s">
        <v>296</v>
      </c>
      <c r="C238" s="416" t="s">
        <v>1784</v>
      </c>
      <c r="D238" s="444">
        <v>0</v>
      </c>
      <c r="E238" s="415" t="s">
        <v>1716</v>
      </c>
      <c r="F238" s="444">
        <v>3</v>
      </c>
      <c r="G238" s="415" t="s">
        <v>1750</v>
      </c>
      <c r="H238" s="444">
        <v>10</v>
      </c>
      <c r="I238" s="417" t="s">
        <v>1660</v>
      </c>
      <c r="J238" s="444">
        <v>1.2</v>
      </c>
      <c r="K238" s="444">
        <v>0</v>
      </c>
      <c r="L238" s="444"/>
      <c r="M238" s="444">
        <v>0</v>
      </c>
      <c r="N238" s="444">
        <v>40</v>
      </c>
      <c r="O238" s="444"/>
      <c r="P238" s="444"/>
      <c r="Q238" s="444">
        <v>258.33</v>
      </c>
      <c r="R238" s="444"/>
      <c r="S238" s="444">
        <v>0</v>
      </c>
      <c r="T238" s="444">
        <v>0</v>
      </c>
      <c r="U238" s="444"/>
      <c r="V238" s="444">
        <v>0</v>
      </c>
      <c r="W238" s="444">
        <v>0</v>
      </c>
      <c r="X238" s="418"/>
      <c r="Y238" s="445"/>
      <c r="Z238" s="420"/>
      <c r="AA238" s="421">
        <v>156.61000000000001</v>
      </c>
      <c r="AB238" s="421"/>
      <c r="AC238" s="454">
        <v>23</v>
      </c>
      <c r="AE238" s="419" t="s">
        <v>2125</v>
      </c>
      <c r="AF238" s="454">
        <v>1</v>
      </c>
      <c r="AG238" s="429">
        <v>43101</v>
      </c>
      <c r="AJ238" s="430">
        <v>43192</v>
      </c>
      <c r="AL238" s="424" t="s">
        <v>1024</v>
      </c>
      <c r="AO238" s="445"/>
      <c r="AP238" s="454">
        <v>556627</v>
      </c>
      <c r="AQ238" s="431">
        <v>43102</v>
      </c>
      <c r="AR238" s="370">
        <v>0.4</v>
      </c>
      <c r="AT238" s="426"/>
      <c r="AU238" s="426"/>
      <c r="AV238" s="426"/>
      <c r="AY238" s="427" t="s">
        <v>1722</v>
      </c>
      <c r="AZ238" s="373"/>
      <c r="BB238" s="374" t="s">
        <v>1728</v>
      </c>
      <c r="BC238" s="445"/>
      <c r="BE238" s="448"/>
      <c r="BF238" s="449"/>
      <c r="BG238" s="428"/>
      <c r="BH238" s="445"/>
      <c r="BI238" s="491"/>
      <c r="BJ238" s="491">
        <v>2</v>
      </c>
      <c r="BK238" s="445" t="s">
        <v>2938</v>
      </c>
      <c r="BL238" s="419" t="s">
        <v>2939</v>
      </c>
      <c r="BM238" s="445"/>
      <c r="BN238" s="419"/>
      <c r="BO238" s="419"/>
      <c r="BP238" s="419"/>
      <c r="BQ238" s="419" t="s">
        <v>1783</v>
      </c>
      <c r="BR238" s="419">
        <v>5</v>
      </c>
      <c r="BS238" s="419"/>
      <c r="BT238" s="445"/>
      <c r="BU238" s="445"/>
      <c r="BV238" s="445"/>
      <c r="BW238" s="445" t="s">
        <v>2119</v>
      </c>
      <c r="BX238" s="445"/>
      <c r="BY238" s="445"/>
    </row>
    <row r="239" spans="1:77" ht="15">
      <c r="A239" s="370" t="s">
        <v>1783</v>
      </c>
      <c r="B239" s="415" t="s">
        <v>296</v>
      </c>
      <c r="C239" s="416" t="s">
        <v>2081</v>
      </c>
      <c r="D239" s="444">
        <v>0</v>
      </c>
      <c r="E239" s="415" t="s">
        <v>1716</v>
      </c>
      <c r="F239" s="444">
        <v>3</v>
      </c>
      <c r="G239" s="415" t="s">
        <v>1750</v>
      </c>
      <c r="H239" s="444">
        <v>101</v>
      </c>
      <c r="I239" s="417" t="s">
        <v>1688</v>
      </c>
      <c r="J239" s="444">
        <v>8.9</v>
      </c>
      <c r="K239" s="444">
        <v>0</v>
      </c>
      <c r="L239" s="444"/>
      <c r="M239" s="444">
        <v>0</v>
      </c>
      <c r="N239" s="444">
        <v>870</v>
      </c>
      <c r="O239" s="444"/>
      <c r="P239" s="444"/>
      <c r="Q239" s="444">
        <v>0</v>
      </c>
      <c r="R239" s="444"/>
      <c r="S239" s="444">
        <v>0</v>
      </c>
      <c r="T239" s="444">
        <v>0</v>
      </c>
      <c r="U239" s="444"/>
      <c r="V239" s="444">
        <v>0</v>
      </c>
      <c r="W239" s="444">
        <v>0</v>
      </c>
      <c r="X239" s="418"/>
      <c r="Y239" s="445"/>
      <c r="Z239" s="420"/>
      <c r="AA239" s="421">
        <v>185.62</v>
      </c>
      <c r="AB239" s="421"/>
      <c r="AC239" s="454">
        <v>23</v>
      </c>
      <c r="AE239" s="419" t="s">
        <v>2126</v>
      </c>
      <c r="AF239" s="454">
        <v>1</v>
      </c>
      <c r="AG239" s="429">
        <v>43101</v>
      </c>
      <c r="AJ239" s="430">
        <v>43196</v>
      </c>
      <c r="AL239" s="424" t="s">
        <v>1027</v>
      </c>
      <c r="AO239" s="445"/>
      <c r="AP239" s="454">
        <v>556669</v>
      </c>
      <c r="AQ239" s="431">
        <v>43196</v>
      </c>
      <c r="AR239" s="370">
        <v>0.3</v>
      </c>
      <c r="AT239" s="426"/>
      <c r="AU239" s="426"/>
      <c r="AV239" s="426"/>
      <c r="AY239" s="427" t="s">
        <v>1722</v>
      </c>
      <c r="AZ239" s="373"/>
      <c r="BB239" s="374" t="s">
        <v>1728</v>
      </c>
      <c r="BC239" s="445"/>
      <c r="BE239" s="448"/>
      <c r="BF239" s="449"/>
      <c r="BG239" s="428"/>
      <c r="BH239" s="445"/>
      <c r="BI239" s="491"/>
      <c r="BJ239" s="491">
        <v>3</v>
      </c>
      <c r="BK239" s="445" t="s">
        <v>2940</v>
      </c>
      <c r="BL239" s="419" t="s">
        <v>2941</v>
      </c>
      <c r="BM239" s="445"/>
      <c r="BN239" s="419"/>
      <c r="BO239" s="419"/>
      <c r="BP239" s="419"/>
      <c r="BQ239" s="419" t="s">
        <v>1783</v>
      </c>
      <c r="BR239" s="419">
        <v>2</v>
      </c>
      <c r="BS239" s="419"/>
      <c r="BT239" s="445"/>
      <c r="BU239" s="445"/>
      <c r="BV239" s="445"/>
      <c r="BW239" s="445" t="s">
        <v>2119</v>
      </c>
      <c r="BX239" s="445"/>
      <c r="BY239" s="445"/>
    </row>
    <row r="240" spans="1:77" ht="15">
      <c r="A240" s="370" t="s">
        <v>1783</v>
      </c>
      <c r="B240" s="415" t="s">
        <v>296</v>
      </c>
      <c r="C240" s="416" t="s">
        <v>2081</v>
      </c>
      <c r="D240" s="444">
        <v>0</v>
      </c>
      <c r="E240" s="415" t="s">
        <v>1716</v>
      </c>
      <c r="F240" s="444">
        <v>3</v>
      </c>
      <c r="G240" s="415" t="s">
        <v>1750</v>
      </c>
      <c r="H240" s="444">
        <v>96</v>
      </c>
      <c r="I240" s="417" t="s">
        <v>1685</v>
      </c>
      <c r="J240" s="444">
        <v>1.4</v>
      </c>
      <c r="K240" s="444">
        <v>0</v>
      </c>
      <c r="L240" s="444"/>
      <c r="M240" s="444">
        <v>0</v>
      </c>
      <c r="N240" s="444">
        <v>60</v>
      </c>
      <c r="O240" s="444"/>
      <c r="P240" s="444"/>
      <c r="Q240" s="444">
        <v>183.33</v>
      </c>
      <c r="R240" s="444"/>
      <c r="S240" s="444">
        <v>0</v>
      </c>
      <c r="T240" s="444">
        <v>0</v>
      </c>
      <c r="U240" s="444"/>
      <c r="V240" s="444">
        <v>0</v>
      </c>
      <c r="W240" s="444">
        <v>0</v>
      </c>
      <c r="X240" s="418"/>
      <c r="Y240" s="445"/>
      <c r="Z240" s="420"/>
      <c r="AA240" s="421">
        <v>139.69</v>
      </c>
      <c r="AB240" s="421"/>
      <c r="AC240" s="454">
        <v>23</v>
      </c>
      <c r="AE240" s="419" t="s">
        <v>2127</v>
      </c>
      <c r="AF240" s="454">
        <v>1</v>
      </c>
      <c r="AG240" s="429">
        <v>43101</v>
      </c>
      <c r="AJ240" s="430">
        <v>43196</v>
      </c>
      <c r="AL240" s="424" t="s">
        <v>1027</v>
      </c>
      <c r="AO240" s="445"/>
      <c r="AP240" s="454">
        <v>556669</v>
      </c>
      <c r="AQ240" s="431">
        <v>43196</v>
      </c>
      <c r="AR240" s="370">
        <v>0.4</v>
      </c>
      <c r="AT240" s="426"/>
      <c r="AU240" s="426"/>
      <c r="AV240" s="426"/>
      <c r="AY240" s="427" t="s">
        <v>1722</v>
      </c>
      <c r="AZ240" s="373"/>
      <c r="BB240" s="374" t="s">
        <v>1728</v>
      </c>
      <c r="BC240" s="445"/>
      <c r="BE240" s="448"/>
      <c r="BF240" s="449"/>
      <c r="BG240" s="428"/>
      <c r="BH240" s="445"/>
      <c r="BI240" s="491"/>
      <c r="BJ240" s="491">
        <v>4</v>
      </c>
      <c r="BK240" s="445" t="s">
        <v>2942</v>
      </c>
      <c r="BL240" s="419" t="s">
        <v>2943</v>
      </c>
      <c r="BM240" s="445"/>
      <c r="BN240" s="419"/>
      <c r="BO240" s="419"/>
      <c r="BP240" s="419"/>
      <c r="BQ240" s="419" t="s">
        <v>1783</v>
      </c>
      <c r="BR240" s="419">
        <v>5</v>
      </c>
      <c r="BS240" s="419"/>
      <c r="BT240" s="445"/>
      <c r="BU240" s="445"/>
      <c r="BV240" s="445"/>
      <c r="BW240" s="445" t="s">
        <v>2119</v>
      </c>
      <c r="BX240" s="445"/>
      <c r="BY240" s="445"/>
    </row>
    <row r="241" spans="1:77" ht="15">
      <c r="A241" s="370" t="s">
        <v>1783</v>
      </c>
      <c r="B241" s="415" t="s">
        <v>296</v>
      </c>
      <c r="C241" s="416" t="s">
        <v>2081</v>
      </c>
      <c r="D241" s="444">
        <v>0</v>
      </c>
      <c r="E241" s="415" t="s">
        <v>1716</v>
      </c>
      <c r="F241" s="444">
        <v>3</v>
      </c>
      <c r="G241" s="415" t="s">
        <v>1750</v>
      </c>
      <c r="H241" s="444">
        <v>126</v>
      </c>
      <c r="I241" s="417" t="s">
        <v>1683</v>
      </c>
      <c r="J241" s="444">
        <v>5.7</v>
      </c>
      <c r="K241" s="444">
        <v>0</v>
      </c>
      <c r="L241" s="444"/>
      <c r="M241" s="444">
        <v>0</v>
      </c>
      <c r="N241" s="444">
        <v>310</v>
      </c>
      <c r="O241" s="444"/>
      <c r="P241" s="444"/>
      <c r="Q241" s="444">
        <v>0</v>
      </c>
      <c r="R241" s="444"/>
      <c r="S241" s="444">
        <v>0</v>
      </c>
      <c r="T241" s="444">
        <v>0</v>
      </c>
      <c r="U241" s="444"/>
      <c r="V241" s="444">
        <v>0</v>
      </c>
      <c r="W241" s="444">
        <v>0</v>
      </c>
      <c r="X241" s="418"/>
      <c r="Y241" s="445"/>
      <c r="Z241" s="420"/>
      <c r="AA241" s="421">
        <v>229.36</v>
      </c>
      <c r="AB241" s="421"/>
      <c r="AC241" s="454">
        <v>23</v>
      </c>
      <c r="AE241" s="419" t="s">
        <v>2128</v>
      </c>
      <c r="AF241" s="454">
        <v>1</v>
      </c>
      <c r="AG241" s="429">
        <v>43101</v>
      </c>
      <c r="AJ241" s="430">
        <v>43196</v>
      </c>
      <c r="AL241" s="424" t="s">
        <v>1689</v>
      </c>
      <c r="AO241" s="445"/>
      <c r="AP241" s="454">
        <v>556669</v>
      </c>
      <c r="AQ241" s="431">
        <v>43196</v>
      </c>
      <c r="AR241" s="370">
        <v>0.4</v>
      </c>
      <c r="AT241" s="426"/>
      <c r="AU241" s="426"/>
      <c r="AV241" s="426"/>
      <c r="AY241" s="427" t="s">
        <v>1722</v>
      </c>
      <c r="AZ241" s="373"/>
      <c r="BB241" s="374" t="s">
        <v>1728</v>
      </c>
      <c r="BC241" s="445"/>
      <c r="BE241" s="448"/>
      <c r="BF241" s="449"/>
      <c r="BG241" s="428"/>
      <c r="BH241" s="445"/>
      <c r="BI241" s="491"/>
      <c r="BJ241" s="491">
        <v>5</v>
      </c>
      <c r="BK241" s="445" t="s">
        <v>2944</v>
      </c>
      <c r="BL241" s="419" t="s">
        <v>2945</v>
      </c>
      <c r="BM241" s="445"/>
      <c r="BN241" s="419"/>
      <c r="BO241" s="419"/>
      <c r="BP241" s="419"/>
      <c r="BQ241" s="419" t="s">
        <v>1783</v>
      </c>
      <c r="BR241" s="419">
        <v>2</v>
      </c>
      <c r="BS241" s="419"/>
      <c r="BT241" s="445"/>
      <c r="BU241" s="445"/>
      <c r="BV241" s="445"/>
      <c r="BW241" s="445" t="s">
        <v>2119</v>
      </c>
      <c r="BX241" s="445"/>
      <c r="BY241" s="445"/>
    </row>
    <row r="242" spans="1:77" ht="15">
      <c r="A242" s="370" t="s">
        <v>1783</v>
      </c>
      <c r="B242" s="415" t="s">
        <v>296</v>
      </c>
      <c r="C242" s="416" t="s">
        <v>2081</v>
      </c>
      <c r="D242" s="444">
        <v>0</v>
      </c>
      <c r="E242" s="415" t="s">
        <v>1716</v>
      </c>
      <c r="F242" s="444">
        <v>3</v>
      </c>
      <c r="G242" s="415" t="s">
        <v>1750</v>
      </c>
      <c r="H242" s="444">
        <v>170</v>
      </c>
      <c r="I242" s="417" t="s">
        <v>1768</v>
      </c>
      <c r="J242" s="444">
        <v>2</v>
      </c>
      <c r="K242" s="444">
        <v>0</v>
      </c>
      <c r="L242" s="444"/>
      <c r="M242" s="444">
        <v>0</v>
      </c>
      <c r="N242" s="444">
        <v>110</v>
      </c>
      <c r="O242" s="444"/>
      <c r="P242" s="444"/>
      <c r="Q242" s="444">
        <v>0</v>
      </c>
      <c r="R242" s="444"/>
      <c r="S242" s="444">
        <v>0</v>
      </c>
      <c r="T242" s="444">
        <v>0</v>
      </c>
      <c r="U242" s="444"/>
      <c r="V242" s="444">
        <v>0</v>
      </c>
      <c r="W242" s="444">
        <v>0</v>
      </c>
      <c r="X242" s="418"/>
      <c r="Y242" s="445"/>
      <c r="Z242" s="420"/>
      <c r="AA242" s="421">
        <v>229.37</v>
      </c>
      <c r="AB242" s="421"/>
      <c r="AC242" s="454">
        <v>23</v>
      </c>
      <c r="AE242" s="419" t="s">
        <v>2129</v>
      </c>
      <c r="AF242" s="454">
        <v>1</v>
      </c>
      <c r="AG242" s="429">
        <v>43101</v>
      </c>
      <c r="AJ242" s="430">
        <v>43196</v>
      </c>
      <c r="AL242" s="424" t="s">
        <v>1976</v>
      </c>
      <c r="AO242" s="445"/>
      <c r="AP242" s="454">
        <v>556669</v>
      </c>
      <c r="AQ242" s="431">
        <v>43196</v>
      </c>
      <c r="AR242" s="370">
        <v>0.3</v>
      </c>
      <c r="AT242" s="426"/>
      <c r="AU242" s="426"/>
      <c r="AV242" s="426"/>
      <c r="AY242" s="427" t="s">
        <v>1722</v>
      </c>
      <c r="AZ242" s="373"/>
      <c r="BB242" s="374" t="s">
        <v>1728</v>
      </c>
      <c r="BC242" s="445"/>
      <c r="BE242" s="448"/>
      <c r="BF242" s="449"/>
      <c r="BG242" s="428"/>
      <c r="BH242" s="445"/>
      <c r="BI242" s="491"/>
      <c r="BJ242" s="491">
        <v>6</v>
      </c>
      <c r="BK242" s="445" t="s">
        <v>2946</v>
      </c>
      <c r="BL242" s="419" t="s">
        <v>2947</v>
      </c>
      <c r="BM242" s="445"/>
      <c r="BN242" s="419"/>
      <c r="BO242" s="419"/>
      <c r="BP242" s="419"/>
      <c r="BQ242" s="419" t="s">
        <v>1783</v>
      </c>
      <c r="BR242" s="419">
        <v>2</v>
      </c>
      <c r="BS242" s="419"/>
      <c r="BT242" s="445"/>
      <c r="BU242" s="445"/>
      <c r="BV242" s="445"/>
      <c r="BW242" s="445" t="s">
        <v>2119</v>
      </c>
      <c r="BX242" s="445"/>
      <c r="BY242" s="445"/>
    </row>
    <row r="243" spans="1:77" ht="15">
      <c r="A243" s="370" t="s">
        <v>1783</v>
      </c>
      <c r="B243" s="415" t="s">
        <v>19</v>
      </c>
      <c r="C243" s="416" t="s">
        <v>2081</v>
      </c>
      <c r="D243" s="444">
        <v>0</v>
      </c>
      <c r="E243" s="415" t="s">
        <v>1716</v>
      </c>
      <c r="F243" s="444">
        <v>3</v>
      </c>
      <c r="G243" s="415" t="s">
        <v>1750</v>
      </c>
      <c r="H243" s="444">
        <v>74</v>
      </c>
      <c r="I243" s="417" t="s">
        <v>1660</v>
      </c>
      <c r="J243" s="444">
        <v>0.5</v>
      </c>
      <c r="K243" s="444">
        <v>0</v>
      </c>
      <c r="L243" s="444"/>
      <c r="M243" s="444">
        <v>0</v>
      </c>
      <c r="N243" s="444">
        <v>50</v>
      </c>
      <c r="O243" s="444"/>
      <c r="P243" s="444"/>
      <c r="Q243" s="444">
        <v>0</v>
      </c>
      <c r="R243" s="444"/>
      <c r="S243" s="444">
        <v>0</v>
      </c>
      <c r="T243" s="444">
        <v>0</v>
      </c>
      <c r="U243" s="444"/>
      <c r="V243" s="444">
        <v>0</v>
      </c>
      <c r="W243" s="444">
        <v>0</v>
      </c>
      <c r="X243" s="418"/>
      <c r="Y243" s="445"/>
      <c r="Z243" s="420"/>
      <c r="AA243" s="421">
        <v>185.59</v>
      </c>
      <c r="AB243" s="421"/>
      <c r="AC243" s="454">
        <v>23</v>
      </c>
      <c r="AE243" s="419" t="s">
        <v>2130</v>
      </c>
      <c r="AF243" s="454">
        <v>1</v>
      </c>
      <c r="AG243" s="429">
        <v>43101</v>
      </c>
      <c r="AJ243" s="430">
        <v>43201</v>
      </c>
      <c r="AL243" s="424" t="s">
        <v>1037</v>
      </c>
      <c r="AO243" s="445"/>
      <c r="AP243" s="454">
        <v>556671</v>
      </c>
      <c r="AQ243" s="431">
        <v>43201</v>
      </c>
      <c r="AR243" s="370">
        <v>0.3</v>
      </c>
      <c r="AT243" s="426"/>
      <c r="AU243" s="426"/>
      <c r="AV243" s="426"/>
      <c r="AY243" s="427" t="s">
        <v>1720</v>
      </c>
      <c r="AZ243" s="373"/>
      <c r="BB243" s="374" t="s">
        <v>1726</v>
      </c>
      <c r="BC243" s="445"/>
      <c r="BE243" s="448"/>
      <c r="BF243" s="449"/>
      <c r="BG243" s="428"/>
      <c r="BH243" s="445"/>
      <c r="BI243" s="491"/>
      <c r="BJ243" s="491">
        <v>10</v>
      </c>
      <c r="BK243" s="445" t="s">
        <v>2948</v>
      </c>
      <c r="BL243" s="419" t="s">
        <v>2949</v>
      </c>
      <c r="BM243" s="445"/>
      <c r="BN243" s="419"/>
      <c r="BO243" s="419"/>
      <c r="BP243" s="419"/>
      <c r="BQ243" s="419" t="s">
        <v>1783</v>
      </c>
      <c r="BR243" s="419">
        <v>2</v>
      </c>
      <c r="BS243" s="419"/>
      <c r="BT243" s="445"/>
      <c r="BU243" s="445"/>
      <c r="BV243" s="445"/>
      <c r="BW243" s="445" t="s">
        <v>2119</v>
      </c>
      <c r="BX243" s="445"/>
      <c r="BY243" s="445"/>
    </row>
    <row r="244" spans="1:77" ht="15">
      <c r="A244" s="370" t="s">
        <v>1269</v>
      </c>
      <c r="B244" s="415" t="s">
        <v>85</v>
      </c>
      <c r="C244" s="416" t="s">
        <v>2131</v>
      </c>
      <c r="D244" s="444">
        <v>0</v>
      </c>
      <c r="E244" s="415" t="s">
        <v>1716</v>
      </c>
      <c r="F244" s="444">
        <v>3</v>
      </c>
      <c r="G244" s="415" t="s">
        <v>1661</v>
      </c>
      <c r="H244" s="444">
        <v>10</v>
      </c>
      <c r="I244" s="417" t="s">
        <v>1686</v>
      </c>
      <c r="J244" s="444">
        <v>17.5</v>
      </c>
      <c r="K244" s="444">
        <v>1068</v>
      </c>
      <c r="L244" s="444">
        <v>0</v>
      </c>
      <c r="M244" s="444">
        <v>467</v>
      </c>
      <c r="N244" s="444">
        <v>0</v>
      </c>
      <c r="O244" s="444">
        <v>0</v>
      </c>
      <c r="P244" s="444">
        <v>0</v>
      </c>
      <c r="Q244" s="444">
        <v>0</v>
      </c>
      <c r="R244" s="444">
        <v>0</v>
      </c>
      <c r="S244" s="444">
        <v>156</v>
      </c>
      <c r="T244" s="444">
        <v>0</v>
      </c>
      <c r="U244" s="444">
        <v>0</v>
      </c>
      <c r="V244" s="444">
        <v>100</v>
      </c>
      <c r="W244" s="444">
        <v>0</v>
      </c>
      <c r="X244" s="418"/>
      <c r="Y244" s="445"/>
      <c r="Z244" s="420"/>
      <c r="AA244" s="421">
        <v>43.968000000000004</v>
      </c>
      <c r="AB244" s="421">
        <v>29.978000000000002</v>
      </c>
      <c r="AC244" s="454">
        <v>88</v>
      </c>
      <c r="AE244" s="419" t="s">
        <v>2132</v>
      </c>
      <c r="AF244" s="454">
        <v>1</v>
      </c>
      <c r="AG244" s="429">
        <v>43101</v>
      </c>
      <c r="AJ244" s="430">
        <v>43214</v>
      </c>
      <c r="AL244" s="424" t="s">
        <v>910</v>
      </c>
      <c r="AO244" s="445"/>
      <c r="AP244" s="454">
        <v>556672</v>
      </c>
      <c r="AQ244" s="431">
        <v>43214</v>
      </c>
      <c r="AT244" s="426"/>
      <c r="AU244" s="426"/>
      <c r="AV244" s="426"/>
      <c r="AY244" s="427" t="s">
        <v>1717</v>
      </c>
      <c r="AZ244" s="373"/>
      <c r="BB244" s="374" t="s">
        <v>1727</v>
      </c>
      <c r="BC244" s="445"/>
      <c r="BE244" s="448">
        <v>0</v>
      </c>
      <c r="BF244" s="449">
        <v>0</v>
      </c>
      <c r="BG244" s="428" t="s">
        <v>1764</v>
      </c>
      <c r="BH244" s="445"/>
      <c r="BI244" s="491"/>
      <c r="BJ244" s="491">
        <v>12</v>
      </c>
      <c r="BK244" s="445" t="s">
        <v>2950</v>
      </c>
      <c r="BL244" s="419" t="s">
        <v>2951</v>
      </c>
      <c r="BM244" s="445"/>
      <c r="BN244" s="419" t="s">
        <v>1765</v>
      </c>
      <c r="BO244" s="419" t="s">
        <v>1765</v>
      </c>
      <c r="BP244" s="419" t="s">
        <v>1765</v>
      </c>
      <c r="BQ244" s="419" t="s">
        <v>1269</v>
      </c>
      <c r="BR244" s="419"/>
      <c r="BS244" s="419"/>
      <c r="BT244" s="445"/>
      <c r="BU244" s="445"/>
      <c r="BV244" s="445"/>
      <c r="BW244" s="445" t="s">
        <v>2119</v>
      </c>
      <c r="BX244" s="445"/>
      <c r="BY244" s="445"/>
    </row>
    <row r="245" spans="1:77" ht="15">
      <c r="A245" s="370" t="s">
        <v>1269</v>
      </c>
      <c r="B245" s="415" t="s">
        <v>216</v>
      </c>
      <c r="C245" s="416" t="s">
        <v>1784</v>
      </c>
      <c r="D245" s="444">
        <v>0</v>
      </c>
      <c r="E245" s="415" t="s">
        <v>1716</v>
      </c>
      <c r="F245" s="444">
        <v>3</v>
      </c>
      <c r="G245" s="415" t="s">
        <v>1661</v>
      </c>
      <c r="H245" s="444">
        <v>127</v>
      </c>
      <c r="I245" s="417" t="s">
        <v>1660</v>
      </c>
      <c r="J245" s="444">
        <v>4.0999999999999996</v>
      </c>
      <c r="K245" s="444">
        <v>96</v>
      </c>
      <c r="L245" s="444">
        <v>0</v>
      </c>
      <c r="M245" s="444">
        <v>0</v>
      </c>
      <c r="N245" s="444">
        <v>0</v>
      </c>
      <c r="O245" s="444">
        <v>0</v>
      </c>
      <c r="P245" s="444">
        <v>0</v>
      </c>
      <c r="Q245" s="444">
        <v>0</v>
      </c>
      <c r="R245" s="444">
        <v>0</v>
      </c>
      <c r="S245" s="444">
        <v>0</v>
      </c>
      <c r="T245" s="444">
        <v>0</v>
      </c>
      <c r="U245" s="444">
        <v>0</v>
      </c>
      <c r="V245" s="444">
        <v>0</v>
      </c>
      <c r="W245" s="444">
        <v>5</v>
      </c>
      <c r="X245" s="418"/>
      <c r="Y245" s="445"/>
      <c r="Z245" s="420"/>
      <c r="AA245" s="421">
        <v>304.02</v>
      </c>
      <c r="AB245" s="421">
        <v>29.978000000000002</v>
      </c>
      <c r="AC245" s="454">
        <v>30</v>
      </c>
      <c r="AE245" s="419" t="s">
        <v>2133</v>
      </c>
      <c r="AF245" s="454">
        <v>1</v>
      </c>
      <c r="AG245" s="429">
        <v>43101</v>
      </c>
      <c r="AJ245" s="430">
        <v>43102</v>
      </c>
      <c r="AL245" s="424" t="s">
        <v>1018</v>
      </c>
      <c r="AO245" s="445"/>
      <c r="AP245" s="454">
        <v>556624</v>
      </c>
      <c r="AQ245" s="431">
        <v>43102</v>
      </c>
      <c r="AT245" s="426"/>
      <c r="AU245" s="426"/>
      <c r="AV245" s="426"/>
      <c r="AY245" s="427" t="s">
        <v>1720</v>
      </c>
      <c r="AZ245" s="373"/>
      <c r="BB245" s="374" t="s">
        <v>1726</v>
      </c>
      <c r="BC245" s="445"/>
      <c r="BE245" s="448">
        <v>0</v>
      </c>
      <c r="BF245" s="449">
        <v>0</v>
      </c>
      <c r="BG245" s="428" t="s">
        <v>1764</v>
      </c>
      <c r="BH245" s="445"/>
      <c r="BI245" s="491"/>
      <c r="BJ245" s="491">
        <v>9</v>
      </c>
      <c r="BK245" s="445" t="s">
        <v>2748</v>
      </c>
      <c r="BL245" s="419" t="s">
        <v>2749</v>
      </c>
      <c r="BM245" s="445"/>
      <c r="BN245" s="419" t="s">
        <v>1765</v>
      </c>
      <c r="BO245" s="419" t="s">
        <v>1765</v>
      </c>
      <c r="BP245" s="419" t="s">
        <v>1765</v>
      </c>
      <c r="BQ245" s="419" t="s">
        <v>1269</v>
      </c>
      <c r="BR245" s="419"/>
      <c r="BS245" s="419"/>
      <c r="BT245" s="445"/>
      <c r="BU245" s="445"/>
      <c r="BV245" s="445"/>
      <c r="BW245" s="445" t="s">
        <v>2119</v>
      </c>
      <c r="BX245" s="445"/>
      <c r="BY245" s="445"/>
    </row>
    <row r="246" spans="1:77" ht="15">
      <c r="A246" s="370" t="s">
        <v>1269</v>
      </c>
      <c r="B246" s="415" t="s">
        <v>216</v>
      </c>
      <c r="C246" s="416" t="s">
        <v>1693</v>
      </c>
      <c r="D246" s="444">
        <v>0</v>
      </c>
      <c r="E246" s="415" t="s">
        <v>1716</v>
      </c>
      <c r="F246" s="444">
        <v>3</v>
      </c>
      <c r="G246" s="415" t="s">
        <v>1661</v>
      </c>
      <c r="H246" s="444">
        <v>69</v>
      </c>
      <c r="I246" s="417" t="s">
        <v>1660</v>
      </c>
      <c r="J246" s="444">
        <v>1</v>
      </c>
      <c r="K246" s="444">
        <v>309</v>
      </c>
      <c r="L246" s="444">
        <v>0</v>
      </c>
      <c r="M246" s="444">
        <v>0</v>
      </c>
      <c r="N246" s="444">
        <v>0</v>
      </c>
      <c r="O246" s="444">
        <v>0</v>
      </c>
      <c r="P246" s="444">
        <v>0</v>
      </c>
      <c r="Q246" s="444">
        <v>0</v>
      </c>
      <c r="R246" s="444">
        <v>0</v>
      </c>
      <c r="S246" s="444">
        <v>0</v>
      </c>
      <c r="T246" s="444">
        <v>0</v>
      </c>
      <c r="U246" s="444">
        <v>0</v>
      </c>
      <c r="V246" s="444">
        <v>17</v>
      </c>
      <c r="W246" s="444">
        <v>3</v>
      </c>
      <c r="X246" s="418"/>
      <c r="Y246" s="445"/>
      <c r="Z246" s="420"/>
      <c r="AA246" s="421">
        <v>193.142</v>
      </c>
      <c r="AB246" s="421">
        <v>29.978000000000002</v>
      </c>
      <c r="AC246" s="454">
        <v>0</v>
      </c>
      <c r="AE246" s="419" t="s">
        <v>2134</v>
      </c>
      <c r="AF246" s="454">
        <v>1</v>
      </c>
      <c r="AG246" s="429">
        <v>43101</v>
      </c>
      <c r="AJ246" s="430">
        <v>43102</v>
      </c>
      <c r="AL246" s="424" t="s">
        <v>914</v>
      </c>
      <c r="AO246" s="445"/>
      <c r="AP246" s="454">
        <v>556625</v>
      </c>
      <c r="AQ246" s="431">
        <v>43102</v>
      </c>
      <c r="AT246" s="426"/>
      <c r="AU246" s="426"/>
      <c r="AV246" s="426"/>
      <c r="AY246" s="427" t="s">
        <v>1720</v>
      </c>
      <c r="AZ246" s="373"/>
      <c r="BB246" s="374" t="s">
        <v>1726</v>
      </c>
      <c r="BC246" s="445"/>
      <c r="BE246" s="448">
        <v>0</v>
      </c>
      <c r="BF246" s="449">
        <v>0</v>
      </c>
      <c r="BG246" s="428" t="s">
        <v>1764</v>
      </c>
      <c r="BH246" s="445"/>
      <c r="BI246" s="491"/>
      <c r="BJ246" s="491">
        <v>11</v>
      </c>
      <c r="BK246" s="445" t="s">
        <v>2952</v>
      </c>
      <c r="BL246" s="419" t="s">
        <v>2953</v>
      </c>
      <c r="BM246" s="445"/>
      <c r="BN246" s="419" t="s">
        <v>1765</v>
      </c>
      <c r="BO246" s="419" t="s">
        <v>1765</v>
      </c>
      <c r="BP246" s="419" t="s">
        <v>1765</v>
      </c>
      <c r="BQ246" s="419" t="s">
        <v>1269</v>
      </c>
      <c r="BR246" s="419"/>
      <c r="BS246" s="419"/>
      <c r="BT246" s="445"/>
      <c r="BU246" s="445"/>
      <c r="BV246" s="445"/>
      <c r="BW246" s="445" t="s">
        <v>2119</v>
      </c>
      <c r="BX246" s="445"/>
      <c r="BY246" s="445"/>
    </row>
    <row r="247" spans="1:77" ht="15">
      <c r="A247" s="370" t="s">
        <v>1269</v>
      </c>
      <c r="B247" s="415" t="s">
        <v>216</v>
      </c>
      <c r="C247" s="416" t="s">
        <v>1693</v>
      </c>
      <c r="D247" s="444">
        <v>0</v>
      </c>
      <c r="E247" s="415" t="s">
        <v>1716</v>
      </c>
      <c r="F247" s="444">
        <v>3</v>
      </c>
      <c r="G247" s="415" t="s">
        <v>1661</v>
      </c>
      <c r="H247" s="444">
        <v>98</v>
      </c>
      <c r="I247" s="417" t="s">
        <v>1683</v>
      </c>
      <c r="J247" s="444">
        <v>2.2000000000000002</v>
      </c>
      <c r="K247" s="444">
        <v>497</v>
      </c>
      <c r="L247" s="444">
        <v>0</v>
      </c>
      <c r="M247" s="444">
        <v>0</v>
      </c>
      <c r="N247" s="444">
        <v>0</v>
      </c>
      <c r="O247" s="444">
        <v>0</v>
      </c>
      <c r="P247" s="444">
        <v>0</v>
      </c>
      <c r="Q247" s="444">
        <v>0</v>
      </c>
      <c r="R247" s="444">
        <v>0</v>
      </c>
      <c r="S247" s="444">
        <v>0</v>
      </c>
      <c r="T247" s="444">
        <v>0</v>
      </c>
      <c r="U247" s="444">
        <v>0</v>
      </c>
      <c r="V247" s="444">
        <v>14</v>
      </c>
      <c r="W247" s="444">
        <v>18</v>
      </c>
      <c r="X247" s="418"/>
      <c r="Y247" s="445"/>
      <c r="Z247" s="420"/>
      <c r="AA247" s="421">
        <v>207.07400000000001</v>
      </c>
      <c r="AB247" s="421">
        <v>29.978000000000002</v>
      </c>
      <c r="AC247" s="454">
        <v>0</v>
      </c>
      <c r="AE247" s="419" t="s">
        <v>2135</v>
      </c>
      <c r="AF247" s="454">
        <v>1</v>
      </c>
      <c r="AG247" s="429">
        <v>43101</v>
      </c>
      <c r="AJ247" s="430">
        <v>43102</v>
      </c>
      <c r="AL247" s="424" t="s">
        <v>1019</v>
      </c>
      <c r="AO247" s="445"/>
      <c r="AP247" s="454">
        <v>556625</v>
      </c>
      <c r="AQ247" s="431">
        <v>43102</v>
      </c>
      <c r="AT247" s="426"/>
      <c r="AU247" s="426"/>
      <c r="AV247" s="426"/>
      <c r="AY247" s="427" t="s">
        <v>1720</v>
      </c>
      <c r="AZ247" s="373"/>
      <c r="BB247" s="374" t="s">
        <v>1726</v>
      </c>
      <c r="BC247" s="445"/>
      <c r="BE247" s="448">
        <v>0</v>
      </c>
      <c r="BF247" s="449">
        <v>0</v>
      </c>
      <c r="BG247" s="428" t="s">
        <v>1764</v>
      </c>
      <c r="BH247" s="445"/>
      <c r="BI247" s="491"/>
      <c r="BJ247" s="491">
        <v>12</v>
      </c>
      <c r="BK247" s="445" t="s">
        <v>2830</v>
      </c>
      <c r="BL247" s="419" t="s">
        <v>2954</v>
      </c>
      <c r="BM247" s="445"/>
      <c r="BN247" s="419" t="s">
        <v>1765</v>
      </c>
      <c r="BO247" s="419" t="s">
        <v>1765</v>
      </c>
      <c r="BP247" s="419" t="s">
        <v>1765</v>
      </c>
      <c r="BQ247" s="419" t="s">
        <v>1269</v>
      </c>
      <c r="BR247" s="419"/>
      <c r="BS247" s="419"/>
      <c r="BT247" s="445"/>
      <c r="BU247" s="445"/>
      <c r="BV247" s="445"/>
      <c r="BW247" s="445" t="s">
        <v>2119</v>
      </c>
      <c r="BX247" s="445"/>
      <c r="BY247" s="445"/>
    </row>
    <row r="248" spans="1:77" ht="15">
      <c r="A248" s="370" t="s">
        <v>1269</v>
      </c>
      <c r="B248" s="415" t="s">
        <v>216</v>
      </c>
      <c r="C248" s="416" t="s">
        <v>1693</v>
      </c>
      <c r="D248" s="444">
        <v>0</v>
      </c>
      <c r="E248" s="415" t="s">
        <v>1716</v>
      </c>
      <c r="F248" s="444">
        <v>3</v>
      </c>
      <c r="G248" s="415" t="s">
        <v>1661</v>
      </c>
      <c r="H248" s="444">
        <v>120</v>
      </c>
      <c r="I248" s="417" t="s">
        <v>1769</v>
      </c>
      <c r="J248" s="444">
        <v>3.6</v>
      </c>
      <c r="K248" s="444">
        <v>1196</v>
      </c>
      <c r="L248" s="444">
        <v>0</v>
      </c>
      <c r="M248" s="444">
        <v>0</v>
      </c>
      <c r="N248" s="444">
        <v>0</v>
      </c>
      <c r="O248" s="444">
        <v>0</v>
      </c>
      <c r="P248" s="444">
        <v>0</v>
      </c>
      <c r="Q248" s="444">
        <v>0</v>
      </c>
      <c r="R248" s="444">
        <v>0</v>
      </c>
      <c r="S248" s="444">
        <v>0</v>
      </c>
      <c r="T248" s="444">
        <v>0</v>
      </c>
      <c r="U248" s="444">
        <v>25</v>
      </c>
      <c r="V248" s="444">
        <v>7</v>
      </c>
      <c r="W248" s="444">
        <v>38</v>
      </c>
      <c r="X248" s="418"/>
      <c r="Y248" s="445"/>
      <c r="Z248" s="420"/>
      <c r="AA248" s="421">
        <v>227.57900000000001</v>
      </c>
      <c r="AB248" s="421">
        <v>29.978000000000002</v>
      </c>
      <c r="AC248" s="454">
        <v>0</v>
      </c>
      <c r="AE248" s="419" t="s">
        <v>2136</v>
      </c>
      <c r="AF248" s="454">
        <v>1</v>
      </c>
      <c r="AG248" s="429">
        <v>43101</v>
      </c>
      <c r="AJ248" s="430">
        <v>43102</v>
      </c>
      <c r="AL248" s="424" t="s">
        <v>1018</v>
      </c>
      <c r="AO248" s="445"/>
      <c r="AP248" s="454">
        <v>556625</v>
      </c>
      <c r="AQ248" s="431">
        <v>43102</v>
      </c>
      <c r="AT248" s="426"/>
      <c r="AU248" s="426"/>
      <c r="AV248" s="426"/>
      <c r="AY248" s="427" t="s">
        <v>1720</v>
      </c>
      <c r="AZ248" s="373"/>
      <c r="BB248" s="374" t="s">
        <v>1726</v>
      </c>
      <c r="BC248" s="445"/>
      <c r="BE248" s="448">
        <v>0</v>
      </c>
      <c r="BF248" s="449">
        <v>0</v>
      </c>
      <c r="BG248" s="428" t="s">
        <v>1764</v>
      </c>
      <c r="BH248" s="445"/>
      <c r="BI248" s="491"/>
      <c r="BJ248" s="491">
        <v>13</v>
      </c>
      <c r="BK248" s="445" t="s">
        <v>2955</v>
      </c>
      <c r="BL248" s="419" t="s">
        <v>2956</v>
      </c>
      <c r="BM248" s="445"/>
      <c r="BN248" s="419" t="s">
        <v>1765</v>
      </c>
      <c r="BO248" s="419" t="s">
        <v>1765</v>
      </c>
      <c r="BP248" s="419" t="s">
        <v>1765</v>
      </c>
      <c r="BQ248" s="419" t="s">
        <v>1269</v>
      </c>
      <c r="BR248" s="419"/>
      <c r="BS248" s="419"/>
      <c r="BT248" s="445"/>
      <c r="BU248" s="445"/>
      <c r="BV248" s="445"/>
      <c r="BW248" s="445" t="s">
        <v>2119</v>
      </c>
      <c r="BX248" s="445"/>
      <c r="BY248" s="445"/>
    </row>
    <row r="249" spans="1:77" ht="15">
      <c r="A249" s="370" t="s">
        <v>1269</v>
      </c>
      <c r="B249" s="415" t="s">
        <v>216</v>
      </c>
      <c r="C249" s="416" t="s">
        <v>1693</v>
      </c>
      <c r="D249" s="444">
        <v>0</v>
      </c>
      <c r="E249" s="415" t="s">
        <v>1716</v>
      </c>
      <c r="F249" s="444">
        <v>3</v>
      </c>
      <c r="G249" s="415" t="s">
        <v>1661</v>
      </c>
      <c r="H249" s="444">
        <v>120</v>
      </c>
      <c r="I249" s="417" t="s">
        <v>1694</v>
      </c>
      <c r="J249" s="444">
        <v>0.8</v>
      </c>
      <c r="K249" s="444">
        <v>257</v>
      </c>
      <c r="L249" s="444">
        <v>0</v>
      </c>
      <c r="M249" s="444">
        <v>0</v>
      </c>
      <c r="N249" s="444">
        <v>0</v>
      </c>
      <c r="O249" s="444">
        <v>0</v>
      </c>
      <c r="P249" s="444">
        <v>0</v>
      </c>
      <c r="Q249" s="444">
        <v>0</v>
      </c>
      <c r="R249" s="444">
        <v>0</v>
      </c>
      <c r="S249" s="444">
        <v>0</v>
      </c>
      <c r="T249" s="444">
        <v>0</v>
      </c>
      <c r="U249" s="444">
        <v>2</v>
      </c>
      <c r="V249" s="444">
        <v>1</v>
      </c>
      <c r="W249" s="444">
        <v>8</v>
      </c>
      <c r="X249" s="418"/>
      <c r="Y249" s="445"/>
      <c r="Z249" s="420"/>
      <c r="AA249" s="421">
        <v>339.31900000000002</v>
      </c>
      <c r="AB249" s="421">
        <v>29.978000000000002</v>
      </c>
      <c r="AC249" s="454">
        <v>0</v>
      </c>
      <c r="AE249" s="419" t="s">
        <v>2137</v>
      </c>
      <c r="AF249" s="454">
        <v>1</v>
      </c>
      <c r="AG249" s="429">
        <v>43101</v>
      </c>
      <c r="AJ249" s="430">
        <v>43102</v>
      </c>
      <c r="AL249" s="424" t="s">
        <v>1018</v>
      </c>
      <c r="AO249" s="445"/>
      <c r="AP249" s="454">
        <v>556625</v>
      </c>
      <c r="AQ249" s="431">
        <v>43102</v>
      </c>
      <c r="AT249" s="426"/>
      <c r="AU249" s="426"/>
      <c r="AV249" s="426"/>
      <c r="AY249" s="427" t="s">
        <v>1720</v>
      </c>
      <c r="AZ249" s="373"/>
      <c r="BB249" s="374" t="s">
        <v>1726</v>
      </c>
      <c r="BC249" s="445"/>
      <c r="BE249" s="448">
        <v>0</v>
      </c>
      <c r="BF249" s="449">
        <v>0</v>
      </c>
      <c r="BG249" s="428" t="s">
        <v>1764</v>
      </c>
      <c r="BH249" s="445"/>
      <c r="BI249" s="491"/>
      <c r="BJ249" s="491">
        <v>14</v>
      </c>
      <c r="BK249" s="445" t="s">
        <v>2957</v>
      </c>
      <c r="BL249" s="419" t="s">
        <v>2958</v>
      </c>
      <c r="BM249" s="445"/>
      <c r="BN249" s="419" t="s">
        <v>1765</v>
      </c>
      <c r="BO249" s="419" t="s">
        <v>1765</v>
      </c>
      <c r="BP249" s="419" t="s">
        <v>1765</v>
      </c>
      <c r="BQ249" s="419" t="s">
        <v>1269</v>
      </c>
      <c r="BR249" s="419"/>
      <c r="BS249" s="419"/>
      <c r="BT249" s="445"/>
      <c r="BU249" s="445"/>
      <c r="BV249" s="445"/>
      <c r="BW249" s="445" t="s">
        <v>2119</v>
      </c>
      <c r="BX249" s="445"/>
      <c r="BY249" s="445"/>
    </row>
    <row r="250" spans="1:77" ht="15">
      <c r="A250" s="370" t="s">
        <v>1269</v>
      </c>
      <c r="B250" s="415" t="s">
        <v>216</v>
      </c>
      <c r="C250" s="416" t="s">
        <v>1619</v>
      </c>
      <c r="D250" s="444">
        <v>0</v>
      </c>
      <c r="E250" s="415" t="s">
        <v>1716</v>
      </c>
      <c r="F250" s="444">
        <v>3</v>
      </c>
      <c r="G250" s="415" t="s">
        <v>1661</v>
      </c>
      <c r="H250" s="444">
        <v>4</v>
      </c>
      <c r="I250" s="417" t="s">
        <v>1530</v>
      </c>
      <c r="J250" s="444">
        <v>1.8</v>
      </c>
      <c r="K250" s="444">
        <v>389</v>
      </c>
      <c r="L250" s="444">
        <v>0</v>
      </c>
      <c r="M250" s="444">
        <v>0</v>
      </c>
      <c r="N250" s="444">
        <v>0</v>
      </c>
      <c r="O250" s="444">
        <v>0</v>
      </c>
      <c r="P250" s="444">
        <v>0</v>
      </c>
      <c r="Q250" s="444">
        <v>0</v>
      </c>
      <c r="R250" s="444">
        <v>0</v>
      </c>
      <c r="S250" s="444">
        <v>0</v>
      </c>
      <c r="T250" s="444">
        <v>0</v>
      </c>
      <c r="U250" s="444">
        <v>2</v>
      </c>
      <c r="V250" s="444">
        <v>0</v>
      </c>
      <c r="W250" s="444">
        <v>31</v>
      </c>
      <c r="X250" s="418"/>
      <c r="Y250" s="445"/>
      <c r="Z250" s="420"/>
      <c r="AA250" s="421">
        <v>181.25399999999999</v>
      </c>
      <c r="AB250" s="421">
        <v>29.978000000000002</v>
      </c>
      <c r="AC250" s="454">
        <v>0</v>
      </c>
      <c r="AE250" s="419" t="s">
        <v>2138</v>
      </c>
      <c r="AF250" s="454">
        <v>1</v>
      </c>
      <c r="AG250" s="429">
        <v>43101</v>
      </c>
      <c r="AJ250" s="430">
        <v>43102</v>
      </c>
      <c r="AL250" s="424" t="s">
        <v>1018</v>
      </c>
      <c r="AO250" s="445"/>
      <c r="AP250" s="454">
        <v>556626</v>
      </c>
      <c r="AQ250" s="431">
        <v>43102</v>
      </c>
      <c r="AT250" s="426"/>
      <c r="AU250" s="426"/>
      <c r="AV250" s="426"/>
      <c r="AY250" s="427" t="s">
        <v>1720</v>
      </c>
      <c r="AZ250" s="373"/>
      <c r="BB250" s="374" t="s">
        <v>1726</v>
      </c>
      <c r="BC250" s="445"/>
      <c r="BE250" s="448">
        <v>0</v>
      </c>
      <c r="BF250" s="449">
        <v>0</v>
      </c>
      <c r="BG250" s="428" t="s">
        <v>1764</v>
      </c>
      <c r="BH250" s="445"/>
      <c r="BI250" s="491"/>
      <c r="BJ250" s="491">
        <v>15</v>
      </c>
      <c r="BK250" s="445" t="s">
        <v>2959</v>
      </c>
      <c r="BL250" s="419" t="s">
        <v>2960</v>
      </c>
      <c r="BM250" s="445"/>
      <c r="BN250" s="419" t="s">
        <v>1765</v>
      </c>
      <c r="BO250" s="419" t="s">
        <v>1765</v>
      </c>
      <c r="BP250" s="419" t="s">
        <v>1765</v>
      </c>
      <c r="BQ250" s="419" t="s">
        <v>1269</v>
      </c>
      <c r="BR250" s="419"/>
      <c r="BS250" s="419"/>
      <c r="BT250" s="445"/>
      <c r="BU250" s="445"/>
      <c r="BV250" s="445"/>
      <c r="BW250" s="445" t="s">
        <v>2119</v>
      </c>
      <c r="BX250" s="445"/>
      <c r="BY250" s="445"/>
    </row>
    <row r="251" spans="1:77" ht="15">
      <c r="A251" s="370" t="s">
        <v>1269</v>
      </c>
      <c r="B251" s="415" t="s">
        <v>216</v>
      </c>
      <c r="C251" s="416" t="s">
        <v>1619</v>
      </c>
      <c r="D251" s="444">
        <v>0</v>
      </c>
      <c r="E251" s="415" t="s">
        <v>1716</v>
      </c>
      <c r="F251" s="444">
        <v>3</v>
      </c>
      <c r="G251" s="415" t="s">
        <v>1661</v>
      </c>
      <c r="H251" s="444">
        <v>53</v>
      </c>
      <c r="I251" s="417" t="s">
        <v>1694</v>
      </c>
      <c r="J251" s="444">
        <v>4.9000000000000004</v>
      </c>
      <c r="K251" s="444">
        <v>461</v>
      </c>
      <c r="L251" s="444">
        <v>0</v>
      </c>
      <c r="M251" s="444">
        <v>11</v>
      </c>
      <c r="N251" s="444">
        <v>0</v>
      </c>
      <c r="O251" s="444">
        <v>0</v>
      </c>
      <c r="P251" s="444">
        <v>0</v>
      </c>
      <c r="Q251" s="444">
        <v>0</v>
      </c>
      <c r="R251" s="444">
        <v>0</v>
      </c>
      <c r="S251" s="444">
        <v>0</v>
      </c>
      <c r="T251" s="444">
        <v>0</v>
      </c>
      <c r="U251" s="444">
        <v>1</v>
      </c>
      <c r="V251" s="444">
        <v>56</v>
      </c>
      <c r="W251" s="444">
        <v>6</v>
      </c>
      <c r="X251" s="418"/>
      <c r="Y251" s="445"/>
      <c r="Z251" s="420"/>
      <c r="AA251" s="421">
        <v>104.047</v>
      </c>
      <c r="AB251" s="421">
        <v>29.978000000000002</v>
      </c>
      <c r="AC251" s="454">
        <v>12</v>
      </c>
      <c r="AE251" s="419" t="s">
        <v>2139</v>
      </c>
      <c r="AF251" s="454">
        <v>1</v>
      </c>
      <c r="AG251" s="429">
        <v>43101</v>
      </c>
      <c r="AJ251" s="430">
        <v>43102</v>
      </c>
      <c r="AL251" s="424" t="s">
        <v>914</v>
      </c>
      <c r="AO251" s="445"/>
      <c r="AP251" s="454">
        <v>556626</v>
      </c>
      <c r="AQ251" s="431">
        <v>43102</v>
      </c>
      <c r="AT251" s="426"/>
      <c r="AU251" s="426"/>
      <c r="AV251" s="426"/>
      <c r="AY251" s="427" t="s">
        <v>1720</v>
      </c>
      <c r="AZ251" s="373"/>
      <c r="BB251" s="374" t="s">
        <v>1726</v>
      </c>
      <c r="BC251" s="445"/>
      <c r="BE251" s="448">
        <v>0</v>
      </c>
      <c r="BF251" s="449">
        <v>0</v>
      </c>
      <c r="BG251" s="428" t="s">
        <v>1764</v>
      </c>
      <c r="BH251" s="445"/>
      <c r="BI251" s="491"/>
      <c r="BJ251" s="491">
        <v>18</v>
      </c>
      <c r="BK251" s="445" t="s">
        <v>2961</v>
      </c>
      <c r="BL251" s="419" t="s">
        <v>2962</v>
      </c>
      <c r="BM251" s="445"/>
      <c r="BN251" s="419" t="s">
        <v>1765</v>
      </c>
      <c r="BO251" s="419" t="s">
        <v>1765</v>
      </c>
      <c r="BP251" s="419" t="s">
        <v>1765</v>
      </c>
      <c r="BQ251" s="419" t="s">
        <v>1269</v>
      </c>
      <c r="BR251" s="419"/>
      <c r="BS251" s="419"/>
      <c r="BT251" s="445"/>
      <c r="BU251" s="445"/>
      <c r="BV251" s="445"/>
      <c r="BW251" s="445" t="s">
        <v>2119</v>
      </c>
      <c r="BX251" s="445"/>
      <c r="BY251" s="445"/>
    </row>
    <row r="252" spans="1:77" ht="15">
      <c r="A252" s="370" t="s">
        <v>1269</v>
      </c>
      <c r="B252" s="415" t="s">
        <v>216</v>
      </c>
      <c r="C252" s="416" t="s">
        <v>1619</v>
      </c>
      <c r="D252" s="444">
        <v>0</v>
      </c>
      <c r="E252" s="415" t="s">
        <v>1716</v>
      </c>
      <c r="F252" s="444">
        <v>3</v>
      </c>
      <c r="G252" s="415" t="s">
        <v>1661</v>
      </c>
      <c r="H252" s="444">
        <v>63</v>
      </c>
      <c r="I252" s="417" t="s">
        <v>1660</v>
      </c>
      <c r="J252" s="444">
        <v>3.1</v>
      </c>
      <c r="K252" s="444">
        <v>435</v>
      </c>
      <c r="L252" s="444">
        <v>0</v>
      </c>
      <c r="M252" s="444">
        <v>2</v>
      </c>
      <c r="N252" s="444">
        <v>0</v>
      </c>
      <c r="O252" s="444">
        <v>0</v>
      </c>
      <c r="P252" s="444">
        <v>0</v>
      </c>
      <c r="Q252" s="444">
        <v>0</v>
      </c>
      <c r="R252" s="444">
        <v>0</v>
      </c>
      <c r="S252" s="444">
        <v>0</v>
      </c>
      <c r="T252" s="444">
        <v>0</v>
      </c>
      <c r="U252" s="444">
        <v>3</v>
      </c>
      <c r="V252" s="444">
        <v>6</v>
      </c>
      <c r="W252" s="444">
        <v>48</v>
      </c>
      <c r="X252" s="418"/>
      <c r="Y252" s="445"/>
      <c r="Z252" s="420"/>
      <c r="AA252" s="421">
        <v>127.443</v>
      </c>
      <c r="AB252" s="421">
        <v>29.978000000000002</v>
      </c>
      <c r="AC252" s="454">
        <v>6</v>
      </c>
      <c r="AE252" s="419" t="s">
        <v>2140</v>
      </c>
      <c r="AF252" s="454">
        <v>1</v>
      </c>
      <c r="AG252" s="429">
        <v>43101</v>
      </c>
      <c r="AJ252" s="430">
        <v>43102</v>
      </c>
      <c r="AL252" s="424" t="s">
        <v>1019</v>
      </c>
      <c r="AO252" s="445"/>
      <c r="AP252" s="454">
        <v>556626</v>
      </c>
      <c r="AQ252" s="431">
        <v>43102</v>
      </c>
      <c r="AT252" s="426"/>
      <c r="AU252" s="426"/>
      <c r="AV252" s="426"/>
      <c r="AY252" s="427" t="s">
        <v>1720</v>
      </c>
      <c r="AZ252" s="373"/>
      <c r="BB252" s="374" t="s">
        <v>1726</v>
      </c>
      <c r="BC252" s="445"/>
      <c r="BE252" s="448">
        <v>0</v>
      </c>
      <c r="BF252" s="449">
        <v>0</v>
      </c>
      <c r="BG252" s="428" t="s">
        <v>1764</v>
      </c>
      <c r="BH252" s="445"/>
      <c r="BI252" s="491"/>
      <c r="BJ252" s="491">
        <v>19</v>
      </c>
      <c r="BK252" s="445" t="s">
        <v>2852</v>
      </c>
      <c r="BL252" s="419" t="s">
        <v>2963</v>
      </c>
      <c r="BM252" s="445"/>
      <c r="BN252" s="419" t="s">
        <v>1765</v>
      </c>
      <c r="BO252" s="419" t="s">
        <v>1765</v>
      </c>
      <c r="BP252" s="419" t="s">
        <v>1765</v>
      </c>
      <c r="BQ252" s="419" t="s">
        <v>1269</v>
      </c>
      <c r="BR252" s="419"/>
      <c r="BS252" s="419"/>
      <c r="BT252" s="445"/>
      <c r="BU252" s="445"/>
      <c r="BV252" s="445"/>
      <c r="BW252" s="445" t="s">
        <v>2119</v>
      </c>
      <c r="BX252" s="445"/>
      <c r="BY252" s="445"/>
    </row>
    <row r="253" spans="1:77" ht="15">
      <c r="A253" s="370" t="s">
        <v>1269</v>
      </c>
      <c r="B253" s="415" t="s">
        <v>216</v>
      </c>
      <c r="C253" s="416" t="s">
        <v>1619</v>
      </c>
      <c r="D253" s="444">
        <v>0</v>
      </c>
      <c r="E253" s="415" t="s">
        <v>1716</v>
      </c>
      <c r="F253" s="444">
        <v>3</v>
      </c>
      <c r="G253" s="415" t="s">
        <v>1661</v>
      </c>
      <c r="H253" s="444">
        <v>96</v>
      </c>
      <c r="I253" s="417" t="s">
        <v>1683</v>
      </c>
      <c r="J253" s="444">
        <v>3.7</v>
      </c>
      <c r="K253" s="444">
        <v>495</v>
      </c>
      <c r="L253" s="444">
        <v>0</v>
      </c>
      <c r="M253" s="444">
        <v>0</v>
      </c>
      <c r="N253" s="444">
        <v>4</v>
      </c>
      <c r="O253" s="444">
        <v>0</v>
      </c>
      <c r="P253" s="444">
        <v>0</v>
      </c>
      <c r="Q253" s="444">
        <v>0</v>
      </c>
      <c r="R253" s="444">
        <v>0</v>
      </c>
      <c r="S253" s="444">
        <v>0</v>
      </c>
      <c r="T253" s="444">
        <v>0</v>
      </c>
      <c r="U253" s="444">
        <v>14</v>
      </c>
      <c r="V253" s="444">
        <v>13</v>
      </c>
      <c r="W253" s="444">
        <v>57</v>
      </c>
      <c r="X253" s="418"/>
      <c r="Y253" s="445"/>
      <c r="Z253" s="420"/>
      <c r="AA253" s="421">
        <v>106.38500000000001</v>
      </c>
      <c r="AB253" s="421">
        <v>29.978000000000002</v>
      </c>
      <c r="AC253" s="454">
        <v>9</v>
      </c>
      <c r="AE253" s="419" t="s">
        <v>2141</v>
      </c>
      <c r="AF253" s="454">
        <v>1</v>
      </c>
      <c r="AG253" s="429">
        <v>43101</v>
      </c>
      <c r="AJ253" s="430">
        <v>43102</v>
      </c>
      <c r="AL253" s="424" t="s">
        <v>1019</v>
      </c>
      <c r="AO253" s="445"/>
      <c r="AP253" s="454">
        <v>556626</v>
      </c>
      <c r="AQ253" s="431">
        <v>43102</v>
      </c>
      <c r="AT253" s="426"/>
      <c r="AU253" s="426"/>
      <c r="AV253" s="426"/>
      <c r="AY253" s="427" t="s">
        <v>1720</v>
      </c>
      <c r="AZ253" s="373"/>
      <c r="BB253" s="374" t="s">
        <v>1726</v>
      </c>
      <c r="BC253" s="445"/>
      <c r="BE253" s="448">
        <v>0</v>
      </c>
      <c r="BF253" s="449">
        <v>0</v>
      </c>
      <c r="BG253" s="428" t="s">
        <v>1764</v>
      </c>
      <c r="BH253" s="445"/>
      <c r="BI253" s="491"/>
      <c r="BJ253" s="491">
        <v>20</v>
      </c>
      <c r="BK253" s="445" t="s">
        <v>2964</v>
      </c>
      <c r="BL253" s="419" t="s">
        <v>2965</v>
      </c>
      <c r="BM253" s="445"/>
      <c r="BN253" s="419" t="s">
        <v>1765</v>
      </c>
      <c r="BO253" s="419" t="s">
        <v>1765</v>
      </c>
      <c r="BP253" s="419" t="s">
        <v>1765</v>
      </c>
      <c r="BQ253" s="419" t="s">
        <v>1269</v>
      </c>
      <c r="BR253" s="419"/>
      <c r="BS253" s="419"/>
      <c r="BT253" s="445"/>
      <c r="BU253" s="445"/>
      <c r="BV253" s="445"/>
      <c r="BW253" s="445" t="s">
        <v>2119</v>
      </c>
      <c r="BX253" s="445"/>
      <c r="BY253" s="445"/>
    </row>
    <row r="254" spans="1:77" ht="15">
      <c r="A254" s="370" t="s">
        <v>1269</v>
      </c>
      <c r="B254" s="415" t="s">
        <v>216</v>
      </c>
      <c r="C254" s="416" t="s">
        <v>1619</v>
      </c>
      <c r="D254" s="444">
        <v>0</v>
      </c>
      <c r="E254" s="415" t="s">
        <v>1716</v>
      </c>
      <c r="F254" s="444">
        <v>3</v>
      </c>
      <c r="G254" s="415" t="s">
        <v>1661</v>
      </c>
      <c r="H254" s="444">
        <v>102</v>
      </c>
      <c r="I254" s="417" t="s">
        <v>1632</v>
      </c>
      <c r="J254" s="444">
        <v>5.9</v>
      </c>
      <c r="K254" s="444">
        <v>996</v>
      </c>
      <c r="L254" s="444">
        <v>0</v>
      </c>
      <c r="M254" s="444">
        <v>0</v>
      </c>
      <c r="N254" s="444">
        <v>5</v>
      </c>
      <c r="O254" s="444">
        <v>0</v>
      </c>
      <c r="P254" s="444">
        <v>0</v>
      </c>
      <c r="Q254" s="444">
        <v>0</v>
      </c>
      <c r="R254" s="444">
        <v>0</v>
      </c>
      <c r="S254" s="444">
        <v>0</v>
      </c>
      <c r="T254" s="444">
        <v>0</v>
      </c>
      <c r="U254" s="444">
        <v>4</v>
      </c>
      <c r="V254" s="444">
        <v>12</v>
      </c>
      <c r="W254" s="444">
        <v>162</v>
      </c>
      <c r="X254" s="418"/>
      <c r="Y254" s="445"/>
      <c r="Z254" s="420"/>
      <c r="AA254" s="421">
        <v>106.52200000000001</v>
      </c>
      <c r="AB254" s="421">
        <v>29.978000000000002</v>
      </c>
      <c r="AC254" s="454">
        <v>18</v>
      </c>
      <c r="AE254" s="419" t="s">
        <v>2142</v>
      </c>
      <c r="AF254" s="454">
        <v>1</v>
      </c>
      <c r="AG254" s="429">
        <v>43101</v>
      </c>
      <c r="AJ254" s="430">
        <v>43102</v>
      </c>
      <c r="AL254" s="424" t="s">
        <v>2071</v>
      </c>
      <c r="AO254" s="445"/>
      <c r="AP254" s="454">
        <v>556626</v>
      </c>
      <c r="AQ254" s="431">
        <v>43102</v>
      </c>
      <c r="AT254" s="426"/>
      <c r="AU254" s="426"/>
      <c r="AV254" s="426"/>
      <c r="AY254" s="427" t="s">
        <v>1720</v>
      </c>
      <c r="AZ254" s="373"/>
      <c r="BB254" s="374" t="s">
        <v>1726</v>
      </c>
      <c r="BC254" s="445"/>
      <c r="BE254" s="448">
        <v>0</v>
      </c>
      <c r="BF254" s="449">
        <v>0</v>
      </c>
      <c r="BG254" s="428" t="s">
        <v>1764</v>
      </c>
      <c r="BH254" s="445"/>
      <c r="BI254" s="491"/>
      <c r="BJ254" s="491">
        <v>21</v>
      </c>
      <c r="BK254" s="445" t="s">
        <v>2966</v>
      </c>
      <c r="BL254" s="419" t="s">
        <v>2967</v>
      </c>
      <c r="BM254" s="445"/>
      <c r="BN254" s="419" t="s">
        <v>1765</v>
      </c>
      <c r="BO254" s="419" t="s">
        <v>1765</v>
      </c>
      <c r="BP254" s="419" t="s">
        <v>1765</v>
      </c>
      <c r="BQ254" s="419" t="s">
        <v>1269</v>
      </c>
      <c r="BR254" s="419"/>
      <c r="BS254" s="419"/>
      <c r="BT254" s="445"/>
      <c r="BU254" s="445"/>
      <c r="BV254" s="445"/>
      <c r="BW254" s="445" t="s">
        <v>2119</v>
      </c>
      <c r="BX254" s="445"/>
      <c r="BY254" s="445"/>
    </row>
    <row r="255" spans="1:77" ht="15">
      <c r="A255" s="370" t="s">
        <v>1269</v>
      </c>
      <c r="B255" s="415" t="s">
        <v>216</v>
      </c>
      <c r="C255" s="416" t="s">
        <v>1619</v>
      </c>
      <c r="D255" s="444">
        <v>0</v>
      </c>
      <c r="E255" s="415" t="s">
        <v>1716</v>
      </c>
      <c r="F255" s="444">
        <v>3</v>
      </c>
      <c r="G255" s="415" t="s">
        <v>1661</v>
      </c>
      <c r="H255" s="444">
        <v>33</v>
      </c>
      <c r="I255" s="417" t="s">
        <v>1687</v>
      </c>
      <c r="J255" s="444">
        <v>6.2</v>
      </c>
      <c r="K255" s="444">
        <v>1049</v>
      </c>
      <c r="L255" s="444">
        <v>0</v>
      </c>
      <c r="M255" s="444">
        <v>1</v>
      </c>
      <c r="N255" s="444">
        <v>5</v>
      </c>
      <c r="O255" s="444">
        <v>0</v>
      </c>
      <c r="P255" s="444">
        <v>0</v>
      </c>
      <c r="Q255" s="444">
        <v>0</v>
      </c>
      <c r="R255" s="444">
        <v>0</v>
      </c>
      <c r="S255" s="444">
        <v>0</v>
      </c>
      <c r="T255" s="444">
        <v>0</v>
      </c>
      <c r="U255" s="444">
        <v>0</v>
      </c>
      <c r="V255" s="444">
        <v>13</v>
      </c>
      <c r="W255" s="444">
        <v>168</v>
      </c>
      <c r="X255" s="418"/>
      <c r="Y255" s="445"/>
      <c r="Z255" s="420"/>
      <c r="AA255" s="421">
        <v>106.01600000000001</v>
      </c>
      <c r="AB255" s="421">
        <v>29.978000000000002</v>
      </c>
      <c r="AC255" s="454">
        <v>18</v>
      </c>
      <c r="AE255" s="419" t="s">
        <v>2143</v>
      </c>
      <c r="AF255" s="454">
        <v>1</v>
      </c>
      <c r="AG255" s="429">
        <v>43101</v>
      </c>
      <c r="AJ255" s="430">
        <v>43102</v>
      </c>
      <c r="AL255" s="424" t="s">
        <v>928</v>
      </c>
      <c r="AO255" s="445"/>
      <c r="AP255" s="454">
        <v>556626</v>
      </c>
      <c r="AQ255" s="431">
        <v>43102</v>
      </c>
      <c r="AT255" s="426"/>
      <c r="AU255" s="426"/>
      <c r="AV255" s="426"/>
      <c r="AY255" s="427" t="s">
        <v>1720</v>
      </c>
      <c r="AZ255" s="373"/>
      <c r="BB255" s="374" t="s">
        <v>1726</v>
      </c>
      <c r="BC255" s="445"/>
      <c r="BE255" s="448">
        <v>0</v>
      </c>
      <c r="BF255" s="449">
        <v>0</v>
      </c>
      <c r="BG255" s="428" t="s">
        <v>1764</v>
      </c>
      <c r="BH255" s="445"/>
      <c r="BI255" s="491"/>
      <c r="BJ255" s="491">
        <v>16</v>
      </c>
      <c r="BK255" s="445" t="s">
        <v>2968</v>
      </c>
      <c r="BL255" s="419" t="s">
        <v>2969</v>
      </c>
      <c r="BM255" s="445"/>
      <c r="BN255" s="419" t="s">
        <v>1765</v>
      </c>
      <c r="BO255" s="419" t="s">
        <v>1765</v>
      </c>
      <c r="BP255" s="419" t="s">
        <v>1765</v>
      </c>
      <c r="BQ255" s="419" t="s">
        <v>1269</v>
      </c>
      <c r="BR255" s="419"/>
      <c r="BS255" s="419"/>
      <c r="BT255" s="445"/>
      <c r="BU255" s="445"/>
      <c r="BV255" s="445"/>
      <c r="BW255" s="445" t="s">
        <v>2119</v>
      </c>
      <c r="BX255" s="445"/>
      <c r="BY255" s="445"/>
    </row>
    <row r="256" spans="1:77" ht="15">
      <c r="A256" s="370" t="s">
        <v>31</v>
      </c>
      <c r="B256" s="415" t="s">
        <v>296</v>
      </c>
      <c r="C256" s="416" t="s">
        <v>31</v>
      </c>
      <c r="D256" s="444">
        <v>0</v>
      </c>
      <c r="E256" s="415" t="s">
        <v>1716</v>
      </c>
      <c r="F256" s="444">
        <v>3</v>
      </c>
      <c r="G256" s="415" t="s">
        <v>1661</v>
      </c>
      <c r="H256" s="444">
        <v>106</v>
      </c>
      <c r="I256" s="417" t="s">
        <v>1530</v>
      </c>
      <c r="J256" s="444">
        <v>4</v>
      </c>
      <c r="K256" s="444">
        <v>1513</v>
      </c>
      <c r="L256" s="444">
        <v>0</v>
      </c>
      <c r="M256" s="444">
        <v>21</v>
      </c>
      <c r="N256" s="444">
        <v>355</v>
      </c>
      <c r="O256" s="444">
        <v>0</v>
      </c>
      <c r="P256" s="444">
        <v>0</v>
      </c>
      <c r="Q256" s="444">
        <v>8</v>
      </c>
      <c r="R256" s="444">
        <v>157</v>
      </c>
      <c r="S256" s="444">
        <v>104</v>
      </c>
      <c r="T256" s="444">
        <v>284</v>
      </c>
      <c r="U256" s="444">
        <v>52</v>
      </c>
      <c r="V256" s="444">
        <v>86</v>
      </c>
      <c r="W256" s="444">
        <v>205</v>
      </c>
      <c r="X256" s="418"/>
      <c r="Y256" s="445"/>
      <c r="Z256" s="420"/>
      <c r="AA256" s="421">
        <v>80.126999999999995</v>
      </c>
      <c r="AB256" s="421">
        <v>32.584000000000003</v>
      </c>
      <c r="AC256" s="454">
        <v>95</v>
      </c>
      <c r="AE256" s="419" t="s">
        <v>2144</v>
      </c>
      <c r="AF256" s="454">
        <v>1</v>
      </c>
      <c r="AG256" s="429">
        <v>43101</v>
      </c>
      <c r="AJ256" s="430">
        <v>43222</v>
      </c>
      <c r="AL256" s="424" t="s">
        <v>1035</v>
      </c>
      <c r="AO256" s="445"/>
      <c r="AP256" s="454">
        <v>556622</v>
      </c>
      <c r="AQ256" s="431">
        <v>43077</v>
      </c>
      <c r="AT256" s="426"/>
      <c r="AU256" s="426"/>
      <c r="AV256" s="426"/>
      <c r="AY256" s="427" t="s">
        <v>1722</v>
      </c>
      <c r="AZ256" s="373"/>
      <c r="BB256" s="374" t="s">
        <v>1728</v>
      </c>
      <c r="BC256" s="445"/>
      <c r="BE256" s="448">
        <v>8</v>
      </c>
      <c r="BF256" s="449">
        <v>40</v>
      </c>
      <c r="BG256" s="428" t="s">
        <v>1764</v>
      </c>
      <c r="BH256" s="445"/>
      <c r="BI256" s="491"/>
      <c r="BJ256" s="491">
        <v>2</v>
      </c>
      <c r="BK256" s="445" t="s">
        <v>2970</v>
      </c>
      <c r="BL256" s="419" t="s">
        <v>2971</v>
      </c>
      <c r="BM256" s="445"/>
      <c r="BN256" s="419" t="s">
        <v>1765</v>
      </c>
      <c r="BO256" s="419" t="s">
        <v>1765</v>
      </c>
      <c r="BP256" s="419" t="s">
        <v>1765</v>
      </c>
      <c r="BQ256" s="419" t="s">
        <v>31</v>
      </c>
      <c r="BR256" s="419"/>
      <c r="BS256" s="419"/>
      <c r="BT256" s="445"/>
      <c r="BU256" s="445"/>
      <c r="BV256" s="445"/>
      <c r="BW256" s="445" t="s">
        <v>2145</v>
      </c>
      <c r="BX256" s="445"/>
      <c r="BY256" s="445"/>
    </row>
    <row r="257" spans="1:77" ht="15">
      <c r="A257" s="370" t="s">
        <v>31</v>
      </c>
      <c r="B257" s="415" t="s">
        <v>296</v>
      </c>
      <c r="C257" s="416" t="s">
        <v>31</v>
      </c>
      <c r="D257" s="444">
        <v>0</v>
      </c>
      <c r="E257" s="415" t="s">
        <v>1716</v>
      </c>
      <c r="F257" s="444">
        <v>2</v>
      </c>
      <c r="G257" s="415" t="s">
        <v>1661</v>
      </c>
      <c r="H257" s="444">
        <v>101</v>
      </c>
      <c r="I257" s="417" t="s">
        <v>2146</v>
      </c>
      <c r="J257" s="444">
        <v>2.8</v>
      </c>
      <c r="K257" s="444">
        <v>893</v>
      </c>
      <c r="L257" s="444">
        <v>0</v>
      </c>
      <c r="M257" s="444">
        <v>12</v>
      </c>
      <c r="N257" s="444">
        <v>274</v>
      </c>
      <c r="O257" s="444">
        <v>0</v>
      </c>
      <c r="P257" s="444">
        <v>0</v>
      </c>
      <c r="Q257" s="444">
        <v>0</v>
      </c>
      <c r="R257" s="444">
        <v>83</v>
      </c>
      <c r="S257" s="444">
        <v>56</v>
      </c>
      <c r="T257" s="444">
        <v>192</v>
      </c>
      <c r="U257" s="444">
        <v>28</v>
      </c>
      <c r="V257" s="444">
        <v>46</v>
      </c>
      <c r="W257" s="444">
        <v>131</v>
      </c>
      <c r="X257" s="418"/>
      <c r="Y257" s="445"/>
      <c r="Z257" s="420"/>
      <c r="AA257" s="421">
        <v>77.227999999999994</v>
      </c>
      <c r="AB257" s="421">
        <v>30.7</v>
      </c>
      <c r="AC257" s="454">
        <v>0</v>
      </c>
      <c r="AE257" s="419" t="s">
        <v>2144</v>
      </c>
      <c r="AF257" s="454">
        <v>1</v>
      </c>
      <c r="AG257" s="429">
        <v>43101</v>
      </c>
      <c r="AJ257" s="430">
        <v>43222</v>
      </c>
      <c r="AL257" s="424" t="s">
        <v>1035</v>
      </c>
      <c r="AO257" s="445"/>
      <c r="AP257" s="454">
        <v>556622</v>
      </c>
      <c r="AQ257" s="431">
        <v>43077</v>
      </c>
      <c r="AT257" s="426"/>
      <c r="AU257" s="426"/>
      <c r="AV257" s="426"/>
      <c r="AY257" s="427" t="s">
        <v>1722</v>
      </c>
      <c r="AZ257" s="373"/>
      <c r="BB257" s="374" t="s">
        <v>1728</v>
      </c>
      <c r="BC257" s="445"/>
      <c r="BE257" s="448">
        <v>10</v>
      </c>
      <c r="BF257" s="449">
        <v>40</v>
      </c>
      <c r="BG257" s="428" t="s">
        <v>1764</v>
      </c>
      <c r="BH257" s="445"/>
      <c r="BI257" s="491"/>
      <c r="BJ257" s="491">
        <v>2</v>
      </c>
      <c r="BK257" s="445" t="s">
        <v>2717</v>
      </c>
      <c r="BL257" s="419" t="s">
        <v>2972</v>
      </c>
      <c r="BM257" s="445"/>
      <c r="BN257" s="419" t="s">
        <v>1765</v>
      </c>
      <c r="BO257" s="419" t="s">
        <v>1765</v>
      </c>
      <c r="BP257" s="419" t="s">
        <v>1765</v>
      </c>
      <c r="BQ257" s="419" t="s">
        <v>31</v>
      </c>
      <c r="BR257" s="419"/>
      <c r="BS257" s="419"/>
      <c r="BT257" s="445"/>
      <c r="BU257" s="445"/>
      <c r="BV257" s="445"/>
      <c r="BW257" s="445" t="s">
        <v>2147</v>
      </c>
      <c r="BX257" s="445"/>
      <c r="BY257" s="445"/>
    </row>
    <row r="258" spans="1:77" ht="15">
      <c r="A258" s="370" t="s">
        <v>1269</v>
      </c>
      <c r="B258" s="415" t="s">
        <v>19</v>
      </c>
      <c r="C258" s="416" t="s">
        <v>1693</v>
      </c>
      <c r="D258" s="444">
        <v>0</v>
      </c>
      <c r="E258" s="415" t="s">
        <v>1716</v>
      </c>
      <c r="F258" s="444">
        <v>3</v>
      </c>
      <c r="G258" s="415" t="s">
        <v>1661</v>
      </c>
      <c r="H258" s="444">
        <v>133</v>
      </c>
      <c r="I258" s="417" t="s">
        <v>1684</v>
      </c>
      <c r="J258" s="444">
        <v>7.2</v>
      </c>
      <c r="K258" s="444">
        <v>973</v>
      </c>
      <c r="L258" s="444">
        <v>0</v>
      </c>
      <c r="M258" s="444">
        <v>0</v>
      </c>
      <c r="N258" s="444">
        <v>0</v>
      </c>
      <c r="O258" s="444">
        <v>0</v>
      </c>
      <c r="P258" s="444">
        <v>0</v>
      </c>
      <c r="Q258" s="444">
        <v>0</v>
      </c>
      <c r="R258" s="444">
        <v>0</v>
      </c>
      <c r="S258" s="444">
        <v>0</v>
      </c>
      <c r="T258" s="444">
        <v>0</v>
      </c>
      <c r="U258" s="444">
        <v>0</v>
      </c>
      <c r="V258" s="444">
        <v>0</v>
      </c>
      <c r="W258" s="444">
        <v>82</v>
      </c>
      <c r="X258" s="418"/>
      <c r="Y258" s="445"/>
      <c r="Z258" s="420"/>
      <c r="AA258" s="421">
        <v>194.49600000000001</v>
      </c>
      <c r="AB258" s="421">
        <v>29.978000000000002</v>
      </c>
      <c r="AC258" s="454">
        <v>13</v>
      </c>
      <c r="AE258" s="419" t="s">
        <v>2151</v>
      </c>
      <c r="AF258" s="454">
        <v>1</v>
      </c>
      <c r="AG258" s="429">
        <v>43101</v>
      </c>
      <c r="AJ258" s="430">
        <v>43222</v>
      </c>
      <c r="AL258" s="424" t="s">
        <v>912</v>
      </c>
      <c r="AO258" s="445"/>
      <c r="AP258" s="454">
        <v>556640</v>
      </c>
      <c r="AQ258" s="431">
        <v>43102</v>
      </c>
      <c r="AT258" s="426"/>
      <c r="AU258" s="426"/>
      <c r="AV258" s="426"/>
      <c r="AY258" s="427" t="s">
        <v>1720</v>
      </c>
      <c r="AZ258" s="373"/>
      <c r="BB258" s="374" t="s">
        <v>1726</v>
      </c>
      <c r="BC258" s="445"/>
      <c r="BE258" s="448">
        <v>0</v>
      </c>
      <c r="BF258" s="449">
        <v>0</v>
      </c>
      <c r="BG258" s="428" t="s">
        <v>1764</v>
      </c>
      <c r="BH258" s="445"/>
      <c r="BI258" s="491"/>
      <c r="BJ258" s="491">
        <v>1</v>
      </c>
      <c r="BK258" s="445" t="s">
        <v>2973</v>
      </c>
      <c r="BL258" s="419" t="s">
        <v>2974</v>
      </c>
      <c r="BM258" s="445"/>
      <c r="BN258" s="419" t="s">
        <v>1765</v>
      </c>
      <c r="BO258" s="419" t="s">
        <v>1765</v>
      </c>
      <c r="BP258" s="419" t="s">
        <v>1765</v>
      </c>
      <c r="BQ258" s="419" t="s">
        <v>1269</v>
      </c>
      <c r="BR258" s="419"/>
      <c r="BS258" s="419"/>
      <c r="BT258" s="445"/>
      <c r="BU258" s="445"/>
      <c r="BV258" s="445"/>
      <c r="BW258" s="445" t="s">
        <v>2150</v>
      </c>
      <c r="BX258" s="445"/>
      <c r="BY258" s="445"/>
    </row>
    <row r="259" spans="1:77" ht="15">
      <c r="A259" s="370" t="s">
        <v>1269</v>
      </c>
      <c r="B259" s="415" t="s">
        <v>19</v>
      </c>
      <c r="C259" s="416" t="s">
        <v>1693</v>
      </c>
      <c r="D259" s="444">
        <v>0</v>
      </c>
      <c r="E259" s="415" t="s">
        <v>1716</v>
      </c>
      <c r="F259" s="444">
        <v>3</v>
      </c>
      <c r="G259" s="415" t="s">
        <v>1661</v>
      </c>
      <c r="H259" s="444">
        <v>134</v>
      </c>
      <c r="I259" s="417" t="s">
        <v>1768</v>
      </c>
      <c r="J259" s="444">
        <v>3</v>
      </c>
      <c r="K259" s="444">
        <v>167</v>
      </c>
      <c r="L259" s="444">
        <v>0</v>
      </c>
      <c r="M259" s="444">
        <v>0</v>
      </c>
      <c r="N259" s="444">
        <v>0</v>
      </c>
      <c r="O259" s="444">
        <v>0</v>
      </c>
      <c r="P259" s="444">
        <v>0</v>
      </c>
      <c r="Q259" s="444">
        <v>0</v>
      </c>
      <c r="R259" s="444">
        <v>0</v>
      </c>
      <c r="S259" s="444">
        <v>0</v>
      </c>
      <c r="T259" s="444">
        <v>0</v>
      </c>
      <c r="U259" s="444">
        <v>0</v>
      </c>
      <c r="V259" s="444">
        <v>0</v>
      </c>
      <c r="W259" s="444">
        <v>19</v>
      </c>
      <c r="X259" s="418"/>
      <c r="Y259" s="445"/>
      <c r="Z259" s="420"/>
      <c r="AA259" s="421">
        <v>163.12</v>
      </c>
      <c r="AB259" s="421">
        <v>29.978000000000002</v>
      </c>
      <c r="AC259" s="454">
        <v>0</v>
      </c>
      <c r="AE259" s="419" t="s">
        <v>2152</v>
      </c>
      <c r="AF259" s="454">
        <v>1</v>
      </c>
      <c r="AG259" s="429">
        <v>43101</v>
      </c>
      <c r="AJ259" s="430">
        <v>43222</v>
      </c>
      <c r="AL259" s="424" t="s">
        <v>912</v>
      </c>
      <c r="AO259" s="445"/>
      <c r="AP259" s="454">
        <v>556640</v>
      </c>
      <c r="AQ259" s="431">
        <v>43102</v>
      </c>
      <c r="AT259" s="426"/>
      <c r="AU259" s="426"/>
      <c r="AV259" s="426"/>
      <c r="AY259" s="427" t="s">
        <v>1720</v>
      </c>
      <c r="AZ259" s="373"/>
      <c r="BB259" s="374" t="s">
        <v>1726</v>
      </c>
      <c r="BC259" s="445"/>
      <c r="BE259" s="448">
        <v>0</v>
      </c>
      <c r="BF259" s="449">
        <v>0</v>
      </c>
      <c r="BG259" s="428" t="s">
        <v>1764</v>
      </c>
      <c r="BH259" s="445"/>
      <c r="BI259" s="491"/>
      <c r="BJ259" s="491">
        <v>2</v>
      </c>
      <c r="BK259" s="445" t="s">
        <v>2975</v>
      </c>
      <c r="BL259" s="419" t="s">
        <v>2976</v>
      </c>
      <c r="BM259" s="445"/>
      <c r="BN259" s="419" t="s">
        <v>1765</v>
      </c>
      <c r="BO259" s="419" t="s">
        <v>1765</v>
      </c>
      <c r="BP259" s="419" t="s">
        <v>1765</v>
      </c>
      <c r="BQ259" s="419" t="s">
        <v>1269</v>
      </c>
      <c r="BR259" s="419"/>
      <c r="BS259" s="419"/>
      <c r="BT259" s="445"/>
      <c r="BU259" s="445"/>
      <c r="BV259" s="445"/>
      <c r="BW259" s="445" t="s">
        <v>2150</v>
      </c>
      <c r="BX259" s="445"/>
      <c r="BY259" s="445"/>
    </row>
    <row r="260" spans="1:77" ht="15">
      <c r="A260" s="370" t="s">
        <v>1269</v>
      </c>
      <c r="B260" s="415" t="s">
        <v>19</v>
      </c>
      <c r="C260" s="416" t="s">
        <v>1693</v>
      </c>
      <c r="D260" s="444">
        <v>0</v>
      </c>
      <c r="E260" s="415" t="s">
        <v>1716</v>
      </c>
      <c r="F260" s="444">
        <v>3</v>
      </c>
      <c r="G260" s="415" t="s">
        <v>1661</v>
      </c>
      <c r="H260" s="444">
        <v>28</v>
      </c>
      <c r="I260" s="417" t="s">
        <v>1664</v>
      </c>
      <c r="J260" s="444">
        <v>6.2</v>
      </c>
      <c r="K260" s="444">
        <v>564</v>
      </c>
      <c r="L260" s="444">
        <v>0</v>
      </c>
      <c r="M260" s="444">
        <v>0</v>
      </c>
      <c r="N260" s="444">
        <v>0</v>
      </c>
      <c r="O260" s="444">
        <v>0</v>
      </c>
      <c r="P260" s="444">
        <v>0</v>
      </c>
      <c r="Q260" s="444">
        <v>0</v>
      </c>
      <c r="R260" s="444">
        <v>0</v>
      </c>
      <c r="S260" s="444">
        <v>0</v>
      </c>
      <c r="T260" s="444">
        <v>0</v>
      </c>
      <c r="U260" s="444">
        <v>0</v>
      </c>
      <c r="V260" s="444">
        <v>0</v>
      </c>
      <c r="W260" s="444">
        <v>43</v>
      </c>
      <c r="X260" s="418"/>
      <c r="Y260" s="445"/>
      <c r="Z260" s="420"/>
      <c r="AA260" s="421">
        <v>210.167</v>
      </c>
      <c r="AB260" s="421">
        <v>29.978000000000002</v>
      </c>
      <c r="AC260" s="454">
        <v>1</v>
      </c>
      <c r="AE260" s="419" t="s">
        <v>2153</v>
      </c>
      <c r="AF260" s="454">
        <v>1</v>
      </c>
      <c r="AG260" s="429">
        <v>43101</v>
      </c>
      <c r="AJ260" s="430">
        <v>43222</v>
      </c>
      <c r="AL260" s="424" t="s">
        <v>912</v>
      </c>
      <c r="AO260" s="445"/>
      <c r="AP260" s="454">
        <v>556640</v>
      </c>
      <c r="AQ260" s="431">
        <v>43102</v>
      </c>
      <c r="AT260" s="426"/>
      <c r="AU260" s="426"/>
      <c r="AV260" s="426"/>
      <c r="AY260" s="427" t="s">
        <v>1720</v>
      </c>
      <c r="AZ260" s="373"/>
      <c r="BB260" s="374" t="s">
        <v>1726</v>
      </c>
      <c r="BC260" s="445"/>
      <c r="BE260" s="448">
        <v>0</v>
      </c>
      <c r="BF260" s="449">
        <v>0</v>
      </c>
      <c r="BG260" s="428" t="s">
        <v>1764</v>
      </c>
      <c r="BH260" s="445"/>
      <c r="BI260" s="491"/>
      <c r="BJ260" s="491">
        <v>3</v>
      </c>
      <c r="BK260" s="445" t="s">
        <v>2977</v>
      </c>
      <c r="BL260" s="419" t="s">
        <v>2978</v>
      </c>
      <c r="BM260" s="445"/>
      <c r="BN260" s="419" t="s">
        <v>1765</v>
      </c>
      <c r="BO260" s="419" t="s">
        <v>1765</v>
      </c>
      <c r="BP260" s="419" t="s">
        <v>1765</v>
      </c>
      <c r="BQ260" s="419" t="s">
        <v>1269</v>
      </c>
      <c r="BR260" s="419"/>
      <c r="BS260" s="419"/>
      <c r="BT260" s="445"/>
      <c r="BU260" s="445"/>
      <c r="BV260" s="445"/>
      <c r="BW260" s="445" t="s">
        <v>2150</v>
      </c>
      <c r="BX260" s="445"/>
      <c r="BY260" s="445"/>
    </row>
    <row r="261" spans="1:77" ht="15">
      <c r="A261" s="370" t="s">
        <v>31</v>
      </c>
      <c r="B261" s="415" t="s">
        <v>85</v>
      </c>
      <c r="C261" s="416" t="s">
        <v>31</v>
      </c>
      <c r="D261" s="444">
        <v>0</v>
      </c>
      <c r="E261" s="415" t="s">
        <v>1716</v>
      </c>
      <c r="F261" s="444">
        <v>2</v>
      </c>
      <c r="G261" s="415" t="s">
        <v>1661</v>
      </c>
      <c r="H261" s="444">
        <v>49</v>
      </c>
      <c r="I261" s="417" t="s">
        <v>2148</v>
      </c>
      <c r="J261" s="444">
        <v>4.5999999999999996</v>
      </c>
      <c r="K261" s="444">
        <v>2679</v>
      </c>
      <c r="L261" s="444">
        <v>0</v>
      </c>
      <c r="M261" s="444">
        <v>0</v>
      </c>
      <c r="N261" s="444">
        <v>718</v>
      </c>
      <c r="O261" s="444">
        <v>0</v>
      </c>
      <c r="P261" s="444">
        <v>0</v>
      </c>
      <c r="Q261" s="444">
        <v>10</v>
      </c>
      <c r="R261" s="444">
        <v>59</v>
      </c>
      <c r="S261" s="444">
        <v>0</v>
      </c>
      <c r="T261" s="444">
        <v>582</v>
      </c>
      <c r="U261" s="444">
        <v>20</v>
      </c>
      <c r="V261" s="444">
        <v>0</v>
      </c>
      <c r="W261" s="444">
        <v>395</v>
      </c>
      <c r="X261" s="418"/>
      <c r="Y261" s="445"/>
      <c r="Z261" s="420"/>
      <c r="AA261" s="421">
        <v>77.013000000000005</v>
      </c>
      <c r="AB261" s="421">
        <v>35.042999999999999</v>
      </c>
      <c r="AC261" s="454">
        <v>114</v>
      </c>
      <c r="AE261" s="419" t="s">
        <v>2149</v>
      </c>
      <c r="AF261" s="454">
        <v>1</v>
      </c>
      <c r="AG261" s="429">
        <v>43101</v>
      </c>
      <c r="AJ261" s="430">
        <v>43230</v>
      </c>
      <c r="AL261" s="424" t="s">
        <v>931</v>
      </c>
      <c r="AO261" s="445"/>
      <c r="AP261" s="454">
        <v>556622</v>
      </c>
      <c r="AQ261" s="431">
        <v>43077</v>
      </c>
      <c r="AT261" s="426"/>
      <c r="AU261" s="426"/>
      <c r="AV261" s="426"/>
      <c r="AY261" s="427" t="s">
        <v>1717</v>
      </c>
      <c r="AZ261" s="373"/>
      <c r="BB261" s="374" t="s">
        <v>1727</v>
      </c>
      <c r="BC261" s="445"/>
      <c r="BE261" s="448">
        <v>10</v>
      </c>
      <c r="BF261" s="449">
        <v>40</v>
      </c>
      <c r="BG261" s="428" t="s">
        <v>1764</v>
      </c>
      <c r="BH261" s="445"/>
      <c r="BI261" s="491"/>
      <c r="BJ261" s="491">
        <v>1</v>
      </c>
      <c r="BK261" s="445" t="s">
        <v>2979</v>
      </c>
      <c r="BL261" s="419" t="s">
        <v>2980</v>
      </c>
      <c r="BM261" s="445"/>
      <c r="BN261" s="419" t="s">
        <v>1765</v>
      </c>
      <c r="BO261" s="419" t="s">
        <v>1765</v>
      </c>
      <c r="BP261" s="419" t="s">
        <v>1765</v>
      </c>
      <c r="BQ261" s="419" t="s">
        <v>31</v>
      </c>
      <c r="BR261" s="419"/>
      <c r="BS261" s="419"/>
      <c r="BT261" s="445"/>
      <c r="BU261" s="445"/>
      <c r="BV261" s="445"/>
      <c r="BW261" s="445" t="s">
        <v>2150</v>
      </c>
      <c r="BX261" s="445"/>
      <c r="BY261" s="445"/>
    </row>
    <row r="262" spans="1:77" ht="15">
      <c r="A262" s="370" t="s">
        <v>1269</v>
      </c>
      <c r="B262" s="415" t="s">
        <v>85</v>
      </c>
      <c r="C262" s="416" t="s">
        <v>2131</v>
      </c>
      <c r="D262" s="444">
        <v>0</v>
      </c>
      <c r="E262" s="415" t="s">
        <v>1716</v>
      </c>
      <c r="F262" s="444">
        <v>3</v>
      </c>
      <c r="G262" s="415" t="s">
        <v>1661</v>
      </c>
      <c r="H262" s="444">
        <v>10</v>
      </c>
      <c r="I262" s="417" t="s">
        <v>1632</v>
      </c>
      <c r="J262" s="444">
        <v>9.1999999999999993</v>
      </c>
      <c r="K262" s="444">
        <v>1130</v>
      </c>
      <c r="L262" s="444">
        <v>0</v>
      </c>
      <c r="M262" s="444">
        <v>453</v>
      </c>
      <c r="N262" s="444">
        <v>0</v>
      </c>
      <c r="O262" s="444">
        <v>0</v>
      </c>
      <c r="P262" s="444">
        <v>0</v>
      </c>
      <c r="Q262" s="444">
        <v>0</v>
      </c>
      <c r="R262" s="444">
        <v>0</v>
      </c>
      <c r="S262" s="444">
        <v>155</v>
      </c>
      <c r="T262" s="444">
        <v>0</v>
      </c>
      <c r="U262" s="444">
        <v>0</v>
      </c>
      <c r="V262" s="444">
        <v>156</v>
      </c>
      <c r="W262" s="444">
        <v>0</v>
      </c>
      <c r="X262" s="418"/>
      <c r="Y262" s="445"/>
      <c r="Z262" s="420"/>
      <c r="AA262" s="421">
        <v>46.033999999999999</v>
      </c>
      <c r="AB262" s="421">
        <v>29.978000000000002</v>
      </c>
      <c r="AC262" s="454">
        <v>93</v>
      </c>
      <c r="AE262" s="419" t="s">
        <v>2154</v>
      </c>
      <c r="AF262" s="454">
        <v>1</v>
      </c>
      <c r="AG262" s="429">
        <v>43101</v>
      </c>
      <c r="AJ262" s="430">
        <v>43214</v>
      </c>
      <c r="AL262" s="424" t="s">
        <v>910</v>
      </c>
      <c r="AO262" s="445"/>
      <c r="AP262" s="454">
        <v>556672</v>
      </c>
      <c r="AQ262" s="431">
        <v>43214</v>
      </c>
      <c r="AT262" s="426"/>
      <c r="AU262" s="426"/>
      <c r="AV262" s="426"/>
      <c r="AY262" s="427" t="s">
        <v>1717</v>
      </c>
      <c r="AZ262" s="373"/>
      <c r="BB262" s="374" t="s">
        <v>1727</v>
      </c>
      <c r="BC262" s="445"/>
      <c r="BE262" s="448">
        <v>0</v>
      </c>
      <c r="BF262" s="449">
        <v>0</v>
      </c>
      <c r="BG262" s="428" t="s">
        <v>1764</v>
      </c>
      <c r="BH262" s="445"/>
      <c r="BI262" s="491"/>
      <c r="BJ262" s="491">
        <v>6</v>
      </c>
      <c r="BK262" s="445" t="s">
        <v>328</v>
      </c>
      <c r="BL262" s="419" t="s">
        <v>2981</v>
      </c>
      <c r="BM262" s="445"/>
      <c r="BN262" s="419" t="s">
        <v>1765</v>
      </c>
      <c r="BO262" s="419" t="s">
        <v>1765</v>
      </c>
      <c r="BP262" s="419" t="s">
        <v>1765</v>
      </c>
      <c r="BQ262" s="419" t="s">
        <v>1269</v>
      </c>
      <c r="BR262" s="419"/>
      <c r="BS262" s="419"/>
      <c r="BT262" s="445"/>
      <c r="BU262" s="445"/>
      <c r="BV262" s="445"/>
      <c r="BW262" s="445" t="s">
        <v>2150</v>
      </c>
      <c r="BX262" s="445"/>
      <c r="BY262" s="445"/>
    </row>
    <row r="263" spans="1:77" ht="15">
      <c r="A263" s="370" t="s">
        <v>1269</v>
      </c>
      <c r="B263" s="415" t="s">
        <v>85</v>
      </c>
      <c r="C263" s="416" t="s">
        <v>2131</v>
      </c>
      <c r="D263" s="444">
        <v>0</v>
      </c>
      <c r="E263" s="415" t="s">
        <v>1716</v>
      </c>
      <c r="F263" s="444">
        <v>3</v>
      </c>
      <c r="G263" s="415" t="s">
        <v>1661</v>
      </c>
      <c r="H263" s="444">
        <v>125</v>
      </c>
      <c r="I263" s="417" t="s">
        <v>2155</v>
      </c>
      <c r="J263" s="444">
        <v>0.8</v>
      </c>
      <c r="K263" s="444">
        <v>92</v>
      </c>
      <c r="L263" s="444">
        <v>0</v>
      </c>
      <c r="M263" s="444">
        <v>9</v>
      </c>
      <c r="N263" s="444">
        <v>0</v>
      </c>
      <c r="O263" s="444">
        <v>0</v>
      </c>
      <c r="P263" s="444">
        <v>0</v>
      </c>
      <c r="Q263" s="444">
        <v>0</v>
      </c>
      <c r="R263" s="444">
        <v>0</v>
      </c>
      <c r="S263" s="444">
        <v>29</v>
      </c>
      <c r="T263" s="444">
        <v>0</v>
      </c>
      <c r="U263" s="444">
        <v>0</v>
      </c>
      <c r="V263" s="444">
        <v>20</v>
      </c>
      <c r="W263" s="444">
        <v>0</v>
      </c>
      <c r="X263" s="418"/>
      <c r="Y263" s="445"/>
      <c r="Z263" s="420"/>
      <c r="AA263" s="421">
        <v>62.817999999999998</v>
      </c>
      <c r="AB263" s="421">
        <v>29.978000000000002</v>
      </c>
      <c r="AC263" s="454">
        <v>7</v>
      </c>
      <c r="AE263" s="419" t="s">
        <v>2083</v>
      </c>
      <c r="AF263" s="454">
        <v>1</v>
      </c>
      <c r="AG263" s="429">
        <v>43101</v>
      </c>
      <c r="AJ263" s="430">
        <v>43214</v>
      </c>
      <c r="AL263" s="424" t="s">
        <v>1198</v>
      </c>
      <c r="AO263" s="445"/>
      <c r="AP263" s="454">
        <v>556672</v>
      </c>
      <c r="AQ263" s="431">
        <v>43214</v>
      </c>
      <c r="AT263" s="426"/>
      <c r="AU263" s="426"/>
      <c r="AV263" s="426"/>
      <c r="AY263" s="427" t="s">
        <v>1717</v>
      </c>
      <c r="AZ263" s="373"/>
      <c r="BB263" s="374" t="s">
        <v>1727</v>
      </c>
      <c r="BC263" s="445"/>
      <c r="BE263" s="448">
        <v>0</v>
      </c>
      <c r="BF263" s="449">
        <v>0</v>
      </c>
      <c r="BG263" s="428" t="s">
        <v>1764</v>
      </c>
      <c r="BH263" s="445"/>
      <c r="BI263" s="491"/>
      <c r="BJ263" s="491">
        <v>4</v>
      </c>
      <c r="BK263" s="445" t="s">
        <v>2982</v>
      </c>
      <c r="BL263" s="419" t="s">
        <v>2983</v>
      </c>
      <c r="BM263" s="445"/>
      <c r="BN263" s="419" t="s">
        <v>1765</v>
      </c>
      <c r="BO263" s="419" t="s">
        <v>1765</v>
      </c>
      <c r="BP263" s="419" t="s">
        <v>1765</v>
      </c>
      <c r="BQ263" s="419" t="s">
        <v>1269</v>
      </c>
      <c r="BR263" s="419"/>
      <c r="BS263" s="419"/>
      <c r="BT263" s="445"/>
      <c r="BU263" s="445"/>
      <c r="BV263" s="445"/>
      <c r="BW263" s="445" t="s">
        <v>2150</v>
      </c>
      <c r="BX263" s="445"/>
      <c r="BY263" s="445"/>
    </row>
    <row r="264" spans="1:77" ht="15">
      <c r="A264" s="370" t="s">
        <v>1269</v>
      </c>
      <c r="B264" s="415" t="s">
        <v>85</v>
      </c>
      <c r="C264" s="416" t="s">
        <v>2131</v>
      </c>
      <c r="D264" s="444">
        <v>0</v>
      </c>
      <c r="E264" s="415" t="s">
        <v>1716</v>
      </c>
      <c r="F264" s="444">
        <v>3</v>
      </c>
      <c r="G264" s="415" t="s">
        <v>1661</v>
      </c>
      <c r="H264" s="444">
        <v>125</v>
      </c>
      <c r="I264" s="417" t="s">
        <v>2156</v>
      </c>
      <c r="J264" s="444">
        <v>1.5</v>
      </c>
      <c r="K264" s="444">
        <v>384</v>
      </c>
      <c r="L264" s="444">
        <v>0</v>
      </c>
      <c r="M264" s="444">
        <v>59</v>
      </c>
      <c r="N264" s="444">
        <v>0</v>
      </c>
      <c r="O264" s="444">
        <v>0</v>
      </c>
      <c r="P264" s="444">
        <v>0</v>
      </c>
      <c r="Q264" s="444">
        <v>0</v>
      </c>
      <c r="R264" s="444">
        <v>0</v>
      </c>
      <c r="S264" s="444">
        <v>40</v>
      </c>
      <c r="T264" s="444">
        <v>0</v>
      </c>
      <c r="U264" s="444">
        <v>0</v>
      </c>
      <c r="V264" s="444">
        <v>57</v>
      </c>
      <c r="W264" s="444">
        <v>0</v>
      </c>
      <c r="X264" s="418"/>
      <c r="Y264" s="445"/>
      <c r="Z264" s="420"/>
      <c r="AA264" s="421">
        <v>62.106000000000002</v>
      </c>
      <c r="AB264" s="421">
        <v>29.978000000000002</v>
      </c>
      <c r="AC264" s="454">
        <v>22</v>
      </c>
      <c r="AE264" s="419" t="s">
        <v>2085</v>
      </c>
      <c r="AF264" s="454">
        <v>1</v>
      </c>
      <c r="AG264" s="429">
        <v>43101</v>
      </c>
      <c r="AJ264" s="430">
        <v>43214</v>
      </c>
      <c r="AL264" s="424" t="s">
        <v>1198</v>
      </c>
      <c r="AO264" s="445"/>
      <c r="AP264" s="454">
        <v>556672</v>
      </c>
      <c r="AQ264" s="431">
        <v>43214</v>
      </c>
      <c r="AT264" s="426"/>
      <c r="AU264" s="426"/>
      <c r="AV264" s="426"/>
      <c r="AY264" s="427" t="s">
        <v>1717</v>
      </c>
      <c r="AZ264" s="373"/>
      <c r="BB264" s="374" t="s">
        <v>1727</v>
      </c>
      <c r="BC264" s="445"/>
      <c r="BE264" s="448">
        <v>0</v>
      </c>
      <c r="BF264" s="449">
        <v>0</v>
      </c>
      <c r="BG264" s="428" t="s">
        <v>1764</v>
      </c>
      <c r="BH264" s="445"/>
      <c r="BI264" s="491"/>
      <c r="BJ264" s="491">
        <v>3</v>
      </c>
      <c r="BK264" s="445" t="s">
        <v>2984</v>
      </c>
      <c r="BL264" s="419" t="s">
        <v>2985</v>
      </c>
      <c r="BM264" s="445"/>
      <c r="BN264" s="419" t="s">
        <v>1765</v>
      </c>
      <c r="BO264" s="419" t="s">
        <v>1765</v>
      </c>
      <c r="BP264" s="419" t="s">
        <v>1765</v>
      </c>
      <c r="BQ264" s="419" t="s">
        <v>1269</v>
      </c>
      <c r="BR264" s="419"/>
      <c r="BS264" s="419"/>
      <c r="BT264" s="445"/>
      <c r="BU264" s="445"/>
      <c r="BV264" s="445"/>
      <c r="BW264" s="445" t="s">
        <v>2150</v>
      </c>
      <c r="BX264" s="445"/>
      <c r="BY264" s="445"/>
    </row>
    <row r="265" spans="1:77" ht="15">
      <c r="A265" s="370" t="s">
        <v>1269</v>
      </c>
      <c r="B265" s="415" t="s">
        <v>85</v>
      </c>
      <c r="C265" s="416" t="s">
        <v>2131</v>
      </c>
      <c r="D265" s="444">
        <v>0</v>
      </c>
      <c r="E265" s="415" t="s">
        <v>1716</v>
      </c>
      <c r="F265" s="444">
        <v>3</v>
      </c>
      <c r="G265" s="415" t="s">
        <v>1661</v>
      </c>
      <c r="H265" s="444">
        <v>95</v>
      </c>
      <c r="I265" s="417" t="s">
        <v>1632</v>
      </c>
      <c r="J265" s="444">
        <v>9</v>
      </c>
      <c r="K265" s="444">
        <v>1897</v>
      </c>
      <c r="L265" s="444">
        <v>0</v>
      </c>
      <c r="M265" s="444">
        <v>119</v>
      </c>
      <c r="N265" s="444">
        <v>0</v>
      </c>
      <c r="O265" s="444">
        <v>0</v>
      </c>
      <c r="P265" s="444">
        <v>0</v>
      </c>
      <c r="Q265" s="444">
        <v>0</v>
      </c>
      <c r="R265" s="444">
        <v>0</v>
      </c>
      <c r="S265" s="444">
        <v>365</v>
      </c>
      <c r="T265" s="444">
        <v>0</v>
      </c>
      <c r="U265" s="444">
        <v>0</v>
      </c>
      <c r="V265" s="444">
        <v>200</v>
      </c>
      <c r="W265" s="444">
        <v>0</v>
      </c>
      <c r="X265" s="418"/>
      <c r="Y265" s="445"/>
      <c r="Z265" s="420"/>
      <c r="AA265" s="421">
        <v>69.849999999999994</v>
      </c>
      <c r="AB265" s="421">
        <v>29.978000000000002</v>
      </c>
      <c r="AC265" s="454">
        <v>96</v>
      </c>
      <c r="AE265" s="419" t="s">
        <v>2157</v>
      </c>
      <c r="AF265" s="454">
        <v>1</v>
      </c>
      <c r="AG265" s="429">
        <v>43101</v>
      </c>
      <c r="AJ265" s="430">
        <v>43234</v>
      </c>
      <c r="AL265" s="424" t="s">
        <v>910</v>
      </c>
      <c r="AO265" s="445"/>
      <c r="AP265" s="454">
        <v>556703</v>
      </c>
      <c r="AQ265" s="431">
        <v>43234</v>
      </c>
      <c r="AT265" s="426"/>
      <c r="AU265" s="426"/>
      <c r="AV265" s="426"/>
      <c r="AY265" s="427" t="s">
        <v>1717</v>
      </c>
      <c r="AZ265" s="373"/>
      <c r="BB265" s="374" t="s">
        <v>1727</v>
      </c>
      <c r="BC265" s="445"/>
      <c r="BE265" s="448">
        <v>0</v>
      </c>
      <c r="BF265" s="449">
        <v>0</v>
      </c>
      <c r="BG265" s="428" t="s">
        <v>1764</v>
      </c>
      <c r="BH265" s="445"/>
      <c r="BI265" s="491"/>
      <c r="BJ265" s="491">
        <v>3</v>
      </c>
      <c r="BK265" s="445" t="s">
        <v>2986</v>
      </c>
      <c r="BL265" s="419" t="s">
        <v>2987</v>
      </c>
      <c r="BM265" s="445"/>
      <c r="BN265" s="419" t="s">
        <v>1765</v>
      </c>
      <c r="BO265" s="419" t="s">
        <v>1765</v>
      </c>
      <c r="BP265" s="419" t="s">
        <v>1765</v>
      </c>
      <c r="BQ265" s="419" t="s">
        <v>1269</v>
      </c>
      <c r="BR265" s="419"/>
      <c r="BS265" s="419"/>
      <c r="BT265" s="445"/>
      <c r="BU265" s="445"/>
      <c r="BV265" s="445"/>
      <c r="BW265" s="445" t="s">
        <v>2150</v>
      </c>
      <c r="BX265" s="445"/>
      <c r="BY265" s="445"/>
    </row>
    <row r="266" spans="1:77" ht="15">
      <c r="A266" s="370" t="s">
        <v>1783</v>
      </c>
      <c r="B266" s="415" t="s">
        <v>85</v>
      </c>
      <c r="C266" s="416" t="s">
        <v>1784</v>
      </c>
      <c r="D266" s="444">
        <v>0</v>
      </c>
      <c r="E266" s="415" t="s">
        <v>1716</v>
      </c>
      <c r="F266" s="444">
        <v>3</v>
      </c>
      <c r="G266" s="415" t="s">
        <v>1750</v>
      </c>
      <c r="H266" s="444">
        <v>32</v>
      </c>
      <c r="I266" s="417" t="s">
        <v>1660</v>
      </c>
      <c r="J266" s="444">
        <v>8</v>
      </c>
      <c r="K266" s="444">
        <v>0</v>
      </c>
      <c r="L266" s="444"/>
      <c r="M266" s="444">
        <v>0</v>
      </c>
      <c r="N266" s="444">
        <v>970</v>
      </c>
      <c r="O266" s="444"/>
      <c r="P266" s="444"/>
      <c r="Q266" s="444">
        <v>0</v>
      </c>
      <c r="R266" s="444"/>
      <c r="S266" s="444">
        <v>0</v>
      </c>
      <c r="T266" s="444">
        <v>0</v>
      </c>
      <c r="U266" s="444"/>
      <c r="V266" s="444">
        <v>0</v>
      </c>
      <c r="W266" s="444">
        <v>0</v>
      </c>
      <c r="X266" s="418"/>
      <c r="Y266" s="445"/>
      <c r="Z266" s="420"/>
      <c r="AA266" s="421">
        <v>185.62</v>
      </c>
      <c r="AB266" s="421"/>
      <c r="AC266" s="454">
        <v>23</v>
      </c>
      <c r="AE266" s="419" t="s">
        <v>2158</v>
      </c>
      <c r="AF266" s="454">
        <v>1</v>
      </c>
      <c r="AG266" s="429">
        <v>43101</v>
      </c>
      <c r="AJ266" s="430">
        <v>43222</v>
      </c>
      <c r="AL266" s="424" t="s">
        <v>910</v>
      </c>
      <c r="AO266" s="445"/>
      <c r="AP266" s="454">
        <v>556630</v>
      </c>
      <c r="AQ266" s="431">
        <v>43102</v>
      </c>
      <c r="AR266" s="370">
        <v>0.3</v>
      </c>
      <c r="AT266" s="426"/>
      <c r="AU266" s="426"/>
      <c r="AV266" s="426"/>
      <c r="AY266" s="427" t="s">
        <v>1717</v>
      </c>
      <c r="AZ266" s="373"/>
      <c r="BB266" s="374" t="s">
        <v>1727</v>
      </c>
      <c r="BC266" s="445"/>
      <c r="BE266" s="448"/>
      <c r="BF266" s="449"/>
      <c r="BG266" s="428"/>
      <c r="BH266" s="445"/>
      <c r="BI266" s="491"/>
      <c r="BJ266" s="491">
        <v>7</v>
      </c>
      <c r="BK266" s="445" t="s">
        <v>2988</v>
      </c>
      <c r="BL266" s="419" t="s">
        <v>2989</v>
      </c>
      <c r="BM266" s="445"/>
      <c r="BN266" s="419"/>
      <c r="BO266" s="419"/>
      <c r="BP266" s="419"/>
      <c r="BQ266" s="419" t="s">
        <v>1783</v>
      </c>
      <c r="BR266" s="419">
        <v>2</v>
      </c>
      <c r="BS266" s="419"/>
      <c r="BT266" s="445"/>
      <c r="BU266" s="445"/>
      <c r="BV266" s="445"/>
      <c r="BW266" s="445" t="s">
        <v>2150</v>
      </c>
      <c r="BX266" s="445"/>
      <c r="BY266" s="445"/>
    </row>
    <row r="267" spans="1:77" ht="15">
      <c r="A267" s="370" t="s">
        <v>1783</v>
      </c>
      <c r="B267" s="415" t="s">
        <v>85</v>
      </c>
      <c r="C267" s="416" t="s">
        <v>2081</v>
      </c>
      <c r="D267" s="444">
        <v>0</v>
      </c>
      <c r="E267" s="415" t="s">
        <v>1716</v>
      </c>
      <c r="F267" s="444">
        <v>3</v>
      </c>
      <c r="G267" s="415" t="s">
        <v>1750</v>
      </c>
      <c r="H267" s="444">
        <v>20</v>
      </c>
      <c r="I267" s="417" t="s">
        <v>1687</v>
      </c>
      <c r="J267" s="444">
        <v>3</v>
      </c>
      <c r="K267" s="444">
        <v>0</v>
      </c>
      <c r="L267" s="444"/>
      <c r="M267" s="444">
        <v>0</v>
      </c>
      <c r="N267" s="444">
        <v>210</v>
      </c>
      <c r="O267" s="444"/>
      <c r="P267" s="444"/>
      <c r="Q267" s="444">
        <v>0</v>
      </c>
      <c r="R267" s="444"/>
      <c r="S267" s="444">
        <v>0</v>
      </c>
      <c r="T267" s="444">
        <v>0</v>
      </c>
      <c r="U267" s="444"/>
      <c r="V267" s="444">
        <v>0</v>
      </c>
      <c r="W267" s="444">
        <v>0</v>
      </c>
      <c r="X267" s="418"/>
      <c r="Y267" s="445"/>
      <c r="Z267" s="420"/>
      <c r="AA267" s="421">
        <v>204.23</v>
      </c>
      <c r="AB267" s="421"/>
      <c r="AC267" s="454">
        <v>23</v>
      </c>
      <c r="AE267" s="419" t="s">
        <v>2159</v>
      </c>
      <c r="AF267" s="454">
        <v>1</v>
      </c>
      <c r="AG267" s="429">
        <v>43101</v>
      </c>
      <c r="AJ267" s="430">
        <v>43222</v>
      </c>
      <c r="AL267" s="424" t="s">
        <v>910</v>
      </c>
      <c r="AO267" s="445"/>
      <c r="AP267" s="454">
        <v>556667</v>
      </c>
      <c r="AQ267" s="431">
        <v>43192</v>
      </c>
      <c r="AR267" s="370">
        <v>0.3</v>
      </c>
      <c r="AT267" s="426"/>
      <c r="AU267" s="426"/>
      <c r="AV267" s="426"/>
      <c r="AY267" s="427" t="s">
        <v>1717</v>
      </c>
      <c r="AZ267" s="373"/>
      <c r="BB267" s="374" t="s">
        <v>1727</v>
      </c>
      <c r="BC267" s="445"/>
      <c r="BE267" s="448"/>
      <c r="BF267" s="449"/>
      <c r="BG267" s="428"/>
      <c r="BH267" s="445"/>
      <c r="BI267" s="491"/>
      <c r="BJ267" s="491">
        <v>8</v>
      </c>
      <c r="BK267" s="445" t="s">
        <v>2990</v>
      </c>
      <c r="BL267" s="419" t="s">
        <v>2991</v>
      </c>
      <c r="BM267" s="445"/>
      <c r="BN267" s="419"/>
      <c r="BO267" s="419"/>
      <c r="BP267" s="419"/>
      <c r="BQ267" s="419" t="s">
        <v>1783</v>
      </c>
      <c r="BR267" s="419">
        <v>2</v>
      </c>
      <c r="BS267" s="419"/>
      <c r="BT267" s="445"/>
      <c r="BU267" s="445"/>
      <c r="BV267" s="445"/>
      <c r="BW267" s="445" t="s">
        <v>2150</v>
      </c>
      <c r="BX267" s="445"/>
      <c r="BY267" s="445"/>
    </row>
    <row r="268" spans="1:77" ht="15">
      <c r="A268" s="370" t="s">
        <v>1783</v>
      </c>
      <c r="B268" s="415" t="s">
        <v>85</v>
      </c>
      <c r="C268" s="416" t="s">
        <v>2081</v>
      </c>
      <c r="D268" s="444">
        <v>0</v>
      </c>
      <c r="E268" s="415" t="s">
        <v>1716</v>
      </c>
      <c r="F268" s="444">
        <v>3</v>
      </c>
      <c r="G268" s="415" t="s">
        <v>1750</v>
      </c>
      <c r="H268" s="444">
        <v>20</v>
      </c>
      <c r="I268" s="417" t="s">
        <v>1687</v>
      </c>
      <c r="J268" s="444">
        <v>3</v>
      </c>
      <c r="K268" s="444">
        <v>0</v>
      </c>
      <c r="L268" s="444"/>
      <c r="M268" s="444">
        <v>0</v>
      </c>
      <c r="N268" s="444">
        <v>210</v>
      </c>
      <c r="O268" s="444"/>
      <c r="P268" s="444"/>
      <c r="Q268" s="444">
        <v>0</v>
      </c>
      <c r="R268" s="444"/>
      <c r="S268" s="444">
        <v>0</v>
      </c>
      <c r="T268" s="444">
        <v>0</v>
      </c>
      <c r="U268" s="444"/>
      <c r="V268" s="444">
        <v>0</v>
      </c>
      <c r="W268" s="444">
        <v>0</v>
      </c>
      <c r="X268" s="418"/>
      <c r="Y268" s="445"/>
      <c r="Z268" s="420"/>
      <c r="AA268" s="421">
        <v>204.23</v>
      </c>
      <c r="AB268" s="421"/>
      <c r="AC268" s="454">
        <v>23</v>
      </c>
      <c r="AE268" s="419" t="s">
        <v>2159</v>
      </c>
      <c r="AF268" s="454">
        <v>1</v>
      </c>
      <c r="AG268" s="429">
        <v>43101</v>
      </c>
      <c r="AJ268" s="430">
        <v>43222</v>
      </c>
      <c r="AL268" s="424" t="s">
        <v>910</v>
      </c>
      <c r="AO268" s="445"/>
      <c r="AP268" s="454">
        <v>556667</v>
      </c>
      <c r="AQ268" s="431">
        <v>43192</v>
      </c>
      <c r="AR268" s="370">
        <v>0.3</v>
      </c>
      <c r="AT268" s="426"/>
      <c r="AU268" s="426"/>
      <c r="AV268" s="426"/>
      <c r="AY268" s="427" t="s">
        <v>1717</v>
      </c>
      <c r="AZ268" s="373"/>
      <c r="BB268" s="374" t="s">
        <v>1727</v>
      </c>
      <c r="BC268" s="445"/>
      <c r="BE268" s="448"/>
      <c r="BF268" s="449"/>
      <c r="BG268" s="428"/>
      <c r="BH268" s="445"/>
      <c r="BI268" s="491"/>
      <c r="BJ268" s="491">
        <v>8</v>
      </c>
      <c r="BK268" s="445" t="s">
        <v>2990</v>
      </c>
      <c r="BL268" s="419" t="s">
        <v>2991</v>
      </c>
      <c r="BM268" s="445"/>
      <c r="BN268" s="419"/>
      <c r="BO268" s="419"/>
      <c r="BP268" s="419"/>
      <c r="BQ268" s="419" t="s">
        <v>1783</v>
      </c>
      <c r="BR268" s="419">
        <v>2</v>
      </c>
      <c r="BS268" s="419"/>
      <c r="BT268" s="445"/>
      <c r="BU268" s="445"/>
      <c r="BV268" s="445"/>
      <c r="BW268" s="445" t="s">
        <v>2150</v>
      </c>
      <c r="BX268" s="445"/>
      <c r="BY268" s="445"/>
    </row>
    <row r="269" spans="1:77" ht="15">
      <c r="A269" s="370" t="s">
        <v>1269</v>
      </c>
      <c r="B269" s="415" t="s">
        <v>216</v>
      </c>
      <c r="C269" s="416" t="s">
        <v>2131</v>
      </c>
      <c r="D269" s="444">
        <v>0</v>
      </c>
      <c r="E269" s="415" t="s">
        <v>1716</v>
      </c>
      <c r="F269" s="444">
        <v>3</v>
      </c>
      <c r="G269" s="415" t="s">
        <v>1661</v>
      </c>
      <c r="H269" s="444">
        <v>58</v>
      </c>
      <c r="I269" s="417" t="s">
        <v>2160</v>
      </c>
      <c r="J269" s="444">
        <v>0.8</v>
      </c>
      <c r="K269" s="444">
        <v>36</v>
      </c>
      <c r="L269" s="444">
        <v>0</v>
      </c>
      <c r="M269" s="444">
        <v>0</v>
      </c>
      <c r="N269" s="444">
        <v>0</v>
      </c>
      <c r="O269" s="444">
        <v>0</v>
      </c>
      <c r="P269" s="444">
        <v>0</v>
      </c>
      <c r="Q269" s="444">
        <v>0</v>
      </c>
      <c r="R269" s="444">
        <v>3</v>
      </c>
      <c r="S269" s="444">
        <v>0</v>
      </c>
      <c r="T269" s="444">
        <v>9</v>
      </c>
      <c r="U269" s="444">
        <v>0</v>
      </c>
      <c r="V269" s="444">
        <v>0</v>
      </c>
      <c r="W269" s="444">
        <v>0</v>
      </c>
      <c r="X269" s="418"/>
      <c r="Y269" s="445"/>
      <c r="Z269" s="420"/>
      <c r="AA269" s="421">
        <v>96.385999999999996</v>
      </c>
      <c r="AB269" s="421">
        <v>29.978000000000002</v>
      </c>
      <c r="AC269" s="454">
        <v>1</v>
      </c>
      <c r="AE269" s="419" t="s">
        <v>2161</v>
      </c>
      <c r="AF269" s="454">
        <v>1</v>
      </c>
      <c r="AG269" s="429">
        <v>43101</v>
      </c>
      <c r="AJ269" s="430">
        <v>43234</v>
      </c>
      <c r="AL269" s="424" t="s">
        <v>1019</v>
      </c>
      <c r="AO269" s="445"/>
      <c r="AP269" s="454">
        <v>556701</v>
      </c>
      <c r="AQ269" s="431">
        <v>43234</v>
      </c>
      <c r="AT269" s="426"/>
      <c r="AU269" s="426"/>
      <c r="AV269" s="426"/>
      <c r="AY269" s="427" t="s">
        <v>1720</v>
      </c>
      <c r="AZ269" s="373"/>
      <c r="BB269" s="374" t="s">
        <v>1726</v>
      </c>
      <c r="BC269" s="445"/>
      <c r="BE269" s="448">
        <v>0</v>
      </c>
      <c r="BF269" s="449">
        <v>0</v>
      </c>
      <c r="BG269" s="428" t="s">
        <v>1764</v>
      </c>
      <c r="BH269" s="445"/>
      <c r="BI269" s="491"/>
      <c r="BJ269" s="491">
        <v>4</v>
      </c>
      <c r="BK269" s="445" t="s">
        <v>2992</v>
      </c>
      <c r="BL269" s="419" t="s">
        <v>2993</v>
      </c>
      <c r="BM269" s="445"/>
      <c r="BN269" s="419" t="s">
        <v>1765</v>
      </c>
      <c r="BO269" s="419" t="s">
        <v>1765</v>
      </c>
      <c r="BP269" s="419" t="s">
        <v>1765</v>
      </c>
      <c r="BQ269" s="419" t="s">
        <v>1269</v>
      </c>
      <c r="BR269" s="419"/>
      <c r="BS269" s="419"/>
      <c r="BT269" s="445"/>
      <c r="BU269" s="445"/>
      <c r="BV269" s="445"/>
      <c r="BW269" s="445" t="s">
        <v>2150</v>
      </c>
      <c r="BX269" s="445"/>
      <c r="BY269" s="445"/>
    </row>
    <row r="270" spans="1:77" ht="15">
      <c r="A270" s="370" t="s">
        <v>1269</v>
      </c>
      <c r="B270" s="415" t="s">
        <v>216</v>
      </c>
      <c r="C270" s="416" t="s">
        <v>2131</v>
      </c>
      <c r="D270" s="444">
        <v>0</v>
      </c>
      <c r="E270" s="415" t="s">
        <v>1716</v>
      </c>
      <c r="F270" s="444">
        <v>3</v>
      </c>
      <c r="G270" s="415" t="s">
        <v>1661</v>
      </c>
      <c r="H270" s="444">
        <v>58</v>
      </c>
      <c r="I270" s="417" t="s">
        <v>2162</v>
      </c>
      <c r="J270" s="444">
        <v>0.2</v>
      </c>
      <c r="K270" s="444">
        <v>21</v>
      </c>
      <c r="L270" s="444">
        <v>0</v>
      </c>
      <c r="M270" s="444">
        <v>0</v>
      </c>
      <c r="N270" s="444">
        <v>0</v>
      </c>
      <c r="O270" s="444">
        <v>0</v>
      </c>
      <c r="P270" s="444">
        <v>0</v>
      </c>
      <c r="Q270" s="444">
        <v>0</v>
      </c>
      <c r="R270" s="444">
        <v>1</v>
      </c>
      <c r="S270" s="444">
        <v>0</v>
      </c>
      <c r="T270" s="444">
        <v>6</v>
      </c>
      <c r="U270" s="444">
        <v>0</v>
      </c>
      <c r="V270" s="444">
        <v>0</v>
      </c>
      <c r="W270" s="444">
        <v>0</v>
      </c>
      <c r="X270" s="418"/>
      <c r="Y270" s="445"/>
      <c r="Z270" s="420"/>
      <c r="AA270" s="421">
        <v>89.997</v>
      </c>
      <c r="AB270" s="421">
        <v>29.978000000000002</v>
      </c>
      <c r="AC270" s="454">
        <v>1</v>
      </c>
      <c r="AE270" s="419" t="s">
        <v>2163</v>
      </c>
      <c r="AF270" s="454">
        <v>1</v>
      </c>
      <c r="AG270" s="429">
        <v>43101</v>
      </c>
      <c r="AJ270" s="430">
        <v>43234</v>
      </c>
      <c r="AL270" s="424" t="s">
        <v>1019</v>
      </c>
      <c r="AO270" s="445"/>
      <c r="AP270" s="454">
        <v>556701</v>
      </c>
      <c r="AQ270" s="431">
        <v>43234</v>
      </c>
      <c r="AT270" s="426"/>
      <c r="AU270" s="426"/>
      <c r="AV270" s="426"/>
      <c r="AY270" s="427" t="s">
        <v>1720</v>
      </c>
      <c r="AZ270" s="373"/>
      <c r="BB270" s="374" t="s">
        <v>1726</v>
      </c>
      <c r="BC270" s="445"/>
      <c r="BE270" s="448">
        <v>0</v>
      </c>
      <c r="BF270" s="449">
        <v>0</v>
      </c>
      <c r="BG270" s="428" t="s">
        <v>1764</v>
      </c>
      <c r="BH270" s="445"/>
      <c r="BI270" s="491"/>
      <c r="BJ270" s="491">
        <v>3</v>
      </c>
      <c r="BK270" s="445" t="s">
        <v>2994</v>
      </c>
      <c r="BL270" s="419" t="s">
        <v>2995</v>
      </c>
      <c r="BM270" s="445"/>
      <c r="BN270" s="419" t="s">
        <v>1765</v>
      </c>
      <c r="BO270" s="419" t="s">
        <v>1765</v>
      </c>
      <c r="BP270" s="419" t="s">
        <v>1765</v>
      </c>
      <c r="BQ270" s="419" t="s">
        <v>1269</v>
      </c>
      <c r="BR270" s="419"/>
      <c r="BS270" s="419"/>
      <c r="BT270" s="445"/>
      <c r="BU270" s="445"/>
      <c r="BV270" s="445"/>
      <c r="BW270" s="445" t="s">
        <v>2150</v>
      </c>
      <c r="BX270" s="445"/>
      <c r="BY270" s="445"/>
    </row>
    <row r="271" spans="1:77" ht="15">
      <c r="A271" s="370" t="s">
        <v>1269</v>
      </c>
      <c r="B271" s="415" t="s">
        <v>216</v>
      </c>
      <c r="C271" s="416" t="s">
        <v>2131</v>
      </c>
      <c r="D271" s="444">
        <v>0</v>
      </c>
      <c r="E271" s="415" t="s">
        <v>1716</v>
      </c>
      <c r="F271" s="444">
        <v>3</v>
      </c>
      <c r="G271" s="415" t="s">
        <v>1661</v>
      </c>
      <c r="H271" s="444">
        <v>58</v>
      </c>
      <c r="I271" s="417" t="s">
        <v>1771</v>
      </c>
      <c r="J271" s="444">
        <v>1</v>
      </c>
      <c r="K271" s="444">
        <v>69</v>
      </c>
      <c r="L271" s="444">
        <v>0</v>
      </c>
      <c r="M271" s="444">
        <v>6</v>
      </c>
      <c r="N271" s="444">
        <v>0</v>
      </c>
      <c r="O271" s="444">
        <v>0</v>
      </c>
      <c r="P271" s="444">
        <v>0</v>
      </c>
      <c r="Q271" s="444">
        <v>0</v>
      </c>
      <c r="R271" s="444">
        <v>1</v>
      </c>
      <c r="S271" s="444">
        <v>0</v>
      </c>
      <c r="T271" s="444">
        <v>0</v>
      </c>
      <c r="U271" s="444">
        <v>0</v>
      </c>
      <c r="V271" s="444">
        <v>20</v>
      </c>
      <c r="W271" s="444">
        <v>0</v>
      </c>
      <c r="X271" s="418"/>
      <c r="Y271" s="445"/>
      <c r="Z271" s="420"/>
      <c r="AA271" s="421">
        <v>68.826999999999998</v>
      </c>
      <c r="AB271" s="421">
        <v>29.978000000000002</v>
      </c>
      <c r="AC271" s="454">
        <v>1</v>
      </c>
      <c r="AE271" s="419" t="s">
        <v>2164</v>
      </c>
      <c r="AF271" s="454">
        <v>1</v>
      </c>
      <c r="AG271" s="429">
        <v>43101</v>
      </c>
      <c r="AJ271" s="430">
        <v>43234</v>
      </c>
      <c r="AL271" s="424" t="s">
        <v>1019</v>
      </c>
      <c r="AO271" s="445"/>
      <c r="AP271" s="454">
        <v>556701</v>
      </c>
      <c r="AQ271" s="431">
        <v>43234</v>
      </c>
      <c r="AT271" s="426"/>
      <c r="AU271" s="426"/>
      <c r="AV271" s="426"/>
      <c r="AY271" s="427" t="s">
        <v>1720</v>
      </c>
      <c r="AZ271" s="373"/>
      <c r="BB271" s="374" t="s">
        <v>1726</v>
      </c>
      <c r="BC271" s="445"/>
      <c r="BE271" s="448">
        <v>0</v>
      </c>
      <c r="BF271" s="449">
        <v>0</v>
      </c>
      <c r="BG271" s="428" t="s">
        <v>1764</v>
      </c>
      <c r="BH271" s="445"/>
      <c r="BI271" s="491"/>
      <c r="BJ271" s="491">
        <v>2</v>
      </c>
      <c r="BK271" s="445" t="s">
        <v>1916</v>
      </c>
      <c r="BL271" s="419" t="s">
        <v>2996</v>
      </c>
      <c r="BM271" s="445"/>
      <c r="BN271" s="419" t="s">
        <v>1765</v>
      </c>
      <c r="BO271" s="419" t="s">
        <v>1765</v>
      </c>
      <c r="BP271" s="419" t="s">
        <v>1765</v>
      </c>
      <c r="BQ271" s="419" t="s">
        <v>1269</v>
      </c>
      <c r="BR271" s="419"/>
      <c r="BS271" s="419"/>
      <c r="BT271" s="445"/>
      <c r="BU271" s="445"/>
      <c r="BV271" s="445"/>
      <c r="BW271" s="445" t="s">
        <v>2150</v>
      </c>
      <c r="BX271" s="445"/>
      <c r="BY271" s="445"/>
    </row>
    <row r="272" spans="1:77" ht="15">
      <c r="A272" s="370" t="s">
        <v>1269</v>
      </c>
      <c r="B272" s="415" t="s">
        <v>216</v>
      </c>
      <c r="C272" s="416" t="s">
        <v>1767</v>
      </c>
      <c r="D272" s="444">
        <v>0</v>
      </c>
      <c r="E272" s="415" t="s">
        <v>1716</v>
      </c>
      <c r="F272" s="444">
        <v>3</v>
      </c>
      <c r="G272" s="415" t="s">
        <v>1661</v>
      </c>
      <c r="H272" s="444">
        <v>67</v>
      </c>
      <c r="I272" s="417" t="s">
        <v>1663</v>
      </c>
      <c r="J272" s="444">
        <v>0.2</v>
      </c>
      <c r="K272" s="444">
        <v>3</v>
      </c>
      <c r="L272" s="444">
        <v>0</v>
      </c>
      <c r="M272" s="444">
        <v>1</v>
      </c>
      <c r="N272" s="444">
        <v>0</v>
      </c>
      <c r="O272" s="444">
        <v>0</v>
      </c>
      <c r="P272" s="444">
        <v>0</v>
      </c>
      <c r="Q272" s="444">
        <v>0</v>
      </c>
      <c r="R272" s="444">
        <v>0</v>
      </c>
      <c r="S272" s="444">
        <v>3</v>
      </c>
      <c r="T272" s="444">
        <v>0</v>
      </c>
      <c r="U272" s="444">
        <v>0</v>
      </c>
      <c r="V272" s="444">
        <v>0</v>
      </c>
      <c r="W272" s="444">
        <v>0</v>
      </c>
      <c r="X272" s="418"/>
      <c r="Y272" s="445"/>
      <c r="Z272" s="420"/>
      <c r="AA272" s="421">
        <v>54.204000000000001</v>
      </c>
      <c r="AB272" s="421">
        <v>29.978000000000002</v>
      </c>
      <c r="AC272" s="454">
        <v>1</v>
      </c>
      <c r="AE272" s="419" t="s">
        <v>2165</v>
      </c>
      <c r="AF272" s="454">
        <v>1</v>
      </c>
      <c r="AG272" s="429">
        <v>43101</v>
      </c>
      <c r="AJ272" s="430">
        <v>43234</v>
      </c>
      <c r="AL272" s="424" t="s">
        <v>1019</v>
      </c>
      <c r="AO272" s="445"/>
      <c r="AP272" s="454">
        <v>556702</v>
      </c>
      <c r="AQ272" s="431">
        <v>43234</v>
      </c>
      <c r="AT272" s="426"/>
      <c r="AU272" s="426"/>
      <c r="AV272" s="426"/>
      <c r="AY272" s="427" t="s">
        <v>1720</v>
      </c>
      <c r="AZ272" s="373"/>
      <c r="BB272" s="374" t="s">
        <v>1726</v>
      </c>
      <c r="BC272" s="445"/>
      <c r="BE272" s="448">
        <v>0</v>
      </c>
      <c r="BF272" s="449">
        <v>0</v>
      </c>
      <c r="BG272" s="428" t="s">
        <v>1764</v>
      </c>
      <c r="BH272" s="445"/>
      <c r="BI272" s="491"/>
      <c r="BJ272" s="491">
        <v>7</v>
      </c>
      <c r="BK272" s="445" t="s">
        <v>2997</v>
      </c>
      <c r="BL272" s="419" t="s">
        <v>2998</v>
      </c>
      <c r="BM272" s="445"/>
      <c r="BN272" s="419" t="s">
        <v>1765</v>
      </c>
      <c r="BO272" s="419" t="s">
        <v>1765</v>
      </c>
      <c r="BP272" s="419" t="s">
        <v>1765</v>
      </c>
      <c r="BQ272" s="419" t="s">
        <v>1269</v>
      </c>
      <c r="BR272" s="419"/>
      <c r="BS272" s="419"/>
      <c r="BT272" s="445"/>
      <c r="BU272" s="445"/>
      <c r="BV272" s="445"/>
      <c r="BW272" s="445" t="s">
        <v>2150</v>
      </c>
      <c r="BX272" s="445"/>
      <c r="BY272" s="445"/>
    </row>
    <row r="273" spans="1:77" ht="15">
      <c r="A273" s="370" t="s">
        <v>1269</v>
      </c>
      <c r="B273" s="415" t="s">
        <v>216</v>
      </c>
      <c r="C273" s="416" t="s">
        <v>1767</v>
      </c>
      <c r="D273" s="444">
        <v>0</v>
      </c>
      <c r="E273" s="415" t="s">
        <v>1716</v>
      </c>
      <c r="F273" s="444">
        <v>3</v>
      </c>
      <c r="G273" s="415" t="s">
        <v>1661</v>
      </c>
      <c r="H273" s="444">
        <v>58</v>
      </c>
      <c r="I273" s="417" t="s">
        <v>1531</v>
      </c>
      <c r="J273" s="444">
        <v>0.3</v>
      </c>
      <c r="K273" s="444">
        <v>14</v>
      </c>
      <c r="L273" s="444">
        <v>0</v>
      </c>
      <c r="M273" s="444">
        <v>4</v>
      </c>
      <c r="N273" s="444">
        <v>0</v>
      </c>
      <c r="O273" s="444">
        <v>0</v>
      </c>
      <c r="P273" s="444">
        <v>0</v>
      </c>
      <c r="Q273" s="444">
        <v>0</v>
      </c>
      <c r="R273" s="444">
        <v>0</v>
      </c>
      <c r="S273" s="444">
        <v>7</v>
      </c>
      <c r="T273" s="444">
        <v>1</v>
      </c>
      <c r="U273" s="444">
        <v>0</v>
      </c>
      <c r="V273" s="444">
        <v>0</v>
      </c>
      <c r="W273" s="444">
        <v>0</v>
      </c>
      <c r="X273" s="418"/>
      <c r="Y273" s="445"/>
      <c r="Z273" s="420"/>
      <c r="AA273" s="421">
        <v>53.835000000000001</v>
      </c>
      <c r="AB273" s="421">
        <v>29.978000000000002</v>
      </c>
      <c r="AC273" s="454">
        <v>1</v>
      </c>
      <c r="AE273" s="419" t="s">
        <v>2166</v>
      </c>
      <c r="AF273" s="454">
        <v>1</v>
      </c>
      <c r="AG273" s="429">
        <v>43101</v>
      </c>
      <c r="AJ273" s="430">
        <v>43234</v>
      </c>
      <c r="AL273" s="424" t="s">
        <v>1019</v>
      </c>
      <c r="AO273" s="445"/>
      <c r="AP273" s="454">
        <v>556702</v>
      </c>
      <c r="AQ273" s="431">
        <v>43234</v>
      </c>
      <c r="AT273" s="426"/>
      <c r="AU273" s="426"/>
      <c r="AV273" s="426"/>
      <c r="AY273" s="427" t="s">
        <v>1720</v>
      </c>
      <c r="AZ273" s="373"/>
      <c r="BB273" s="374" t="s">
        <v>1726</v>
      </c>
      <c r="BC273" s="445"/>
      <c r="BE273" s="448">
        <v>0</v>
      </c>
      <c r="BF273" s="449">
        <v>0</v>
      </c>
      <c r="BG273" s="428" t="s">
        <v>1764</v>
      </c>
      <c r="BH273" s="445"/>
      <c r="BI273" s="491"/>
      <c r="BJ273" s="491">
        <v>6</v>
      </c>
      <c r="BK273" s="445" t="s">
        <v>2999</v>
      </c>
      <c r="BL273" s="419" t="s">
        <v>3000</v>
      </c>
      <c r="BM273" s="445"/>
      <c r="BN273" s="419" t="s">
        <v>1765</v>
      </c>
      <c r="BO273" s="419" t="s">
        <v>1765</v>
      </c>
      <c r="BP273" s="419" t="s">
        <v>1765</v>
      </c>
      <c r="BQ273" s="419" t="s">
        <v>1269</v>
      </c>
      <c r="BR273" s="419"/>
      <c r="BS273" s="419"/>
      <c r="BT273" s="445"/>
      <c r="BU273" s="445"/>
      <c r="BV273" s="445"/>
      <c r="BW273" s="445" t="s">
        <v>2150</v>
      </c>
      <c r="BX273" s="445"/>
      <c r="BY273" s="445"/>
    </row>
    <row r="274" spans="1:77" ht="15">
      <c r="A274" s="370" t="s">
        <v>1269</v>
      </c>
      <c r="B274" s="415" t="s">
        <v>216</v>
      </c>
      <c r="C274" s="416" t="s">
        <v>1767</v>
      </c>
      <c r="D274" s="444">
        <v>0</v>
      </c>
      <c r="E274" s="415" t="s">
        <v>1716</v>
      </c>
      <c r="F274" s="444">
        <v>3</v>
      </c>
      <c r="G274" s="415" t="s">
        <v>1661</v>
      </c>
      <c r="H274" s="444">
        <v>58</v>
      </c>
      <c r="I274" s="417" t="s">
        <v>2007</v>
      </c>
      <c r="J274" s="444">
        <v>0.6</v>
      </c>
      <c r="K274" s="444">
        <v>38</v>
      </c>
      <c r="L274" s="444">
        <v>0</v>
      </c>
      <c r="M274" s="444">
        <v>6</v>
      </c>
      <c r="N274" s="444">
        <v>0</v>
      </c>
      <c r="O274" s="444">
        <v>0</v>
      </c>
      <c r="P274" s="444">
        <v>0</v>
      </c>
      <c r="Q274" s="444">
        <v>0</v>
      </c>
      <c r="R274" s="444">
        <v>1</v>
      </c>
      <c r="S274" s="444">
        <v>12</v>
      </c>
      <c r="T274" s="444">
        <v>1</v>
      </c>
      <c r="U274" s="444">
        <v>0</v>
      </c>
      <c r="V274" s="444">
        <v>0</v>
      </c>
      <c r="W274" s="444">
        <v>0</v>
      </c>
      <c r="X274" s="418"/>
      <c r="Y274" s="445"/>
      <c r="Z274" s="420"/>
      <c r="AA274" s="421">
        <v>60.518999999999998</v>
      </c>
      <c r="AB274" s="421">
        <v>29.978000000000002</v>
      </c>
      <c r="AC274" s="454">
        <v>1</v>
      </c>
      <c r="AE274" s="419" t="s">
        <v>2165</v>
      </c>
      <c r="AF274" s="454">
        <v>1</v>
      </c>
      <c r="AG274" s="429">
        <v>43101</v>
      </c>
      <c r="AJ274" s="430">
        <v>43234</v>
      </c>
      <c r="AL274" s="424" t="s">
        <v>1019</v>
      </c>
      <c r="AO274" s="445"/>
      <c r="AP274" s="454">
        <v>556702</v>
      </c>
      <c r="AQ274" s="431">
        <v>43234</v>
      </c>
      <c r="AT274" s="426"/>
      <c r="AU274" s="426"/>
      <c r="AV274" s="426"/>
      <c r="AY274" s="427" t="s">
        <v>1720</v>
      </c>
      <c r="AZ274" s="373"/>
      <c r="BB274" s="374" t="s">
        <v>1726</v>
      </c>
      <c r="BC274" s="445"/>
      <c r="BE274" s="448">
        <v>0</v>
      </c>
      <c r="BF274" s="449">
        <v>0</v>
      </c>
      <c r="BG274" s="428" t="s">
        <v>1764</v>
      </c>
      <c r="BH274" s="445"/>
      <c r="BI274" s="491"/>
      <c r="BJ274" s="491">
        <v>7</v>
      </c>
      <c r="BK274" s="445" t="s">
        <v>3001</v>
      </c>
      <c r="BL274" s="419" t="s">
        <v>3002</v>
      </c>
      <c r="BM274" s="445"/>
      <c r="BN274" s="419" t="s">
        <v>1765</v>
      </c>
      <c r="BO274" s="419" t="s">
        <v>1765</v>
      </c>
      <c r="BP274" s="419" t="s">
        <v>1765</v>
      </c>
      <c r="BQ274" s="419" t="s">
        <v>1269</v>
      </c>
      <c r="BR274" s="419"/>
      <c r="BS274" s="419"/>
      <c r="BT274" s="445"/>
      <c r="BU274" s="445"/>
      <c r="BV274" s="445"/>
      <c r="BW274" s="445" t="s">
        <v>2150</v>
      </c>
      <c r="BX274" s="445"/>
      <c r="BY274" s="445"/>
    </row>
    <row r="275" spans="1:77" ht="15">
      <c r="A275" s="370" t="s">
        <v>1269</v>
      </c>
      <c r="B275" s="415" t="s">
        <v>216</v>
      </c>
      <c r="C275" s="416" t="s">
        <v>1767</v>
      </c>
      <c r="D275" s="444">
        <v>0</v>
      </c>
      <c r="E275" s="415" t="s">
        <v>1716</v>
      </c>
      <c r="F275" s="444">
        <v>3</v>
      </c>
      <c r="G275" s="415" t="s">
        <v>1661</v>
      </c>
      <c r="H275" s="444">
        <v>54</v>
      </c>
      <c r="I275" s="417" t="s">
        <v>1433</v>
      </c>
      <c r="J275" s="444">
        <v>0.8</v>
      </c>
      <c r="K275" s="444">
        <v>128</v>
      </c>
      <c r="L275" s="444">
        <v>0</v>
      </c>
      <c r="M275" s="444">
        <v>10</v>
      </c>
      <c r="N275" s="444">
        <v>0</v>
      </c>
      <c r="O275" s="444">
        <v>0</v>
      </c>
      <c r="P275" s="444">
        <v>0</v>
      </c>
      <c r="Q275" s="444">
        <v>0</v>
      </c>
      <c r="R275" s="444">
        <v>0</v>
      </c>
      <c r="S275" s="444">
        <v>27</v>
      </c>
      <c r="T275" s="444">
        <v>0</v>
      </c>
      <c r="U275" s="444">
        <v>0</v>
      </c>
      <c r="V275" s="444">
        <v>0</v>
      </c>
      <c r="W275" s="444">
        <v>0</v>
      </c>
      <c r="X275" s="418"/>
      <c r="Y275" s="445"/>
      <c r="Z275" s="420"/>
      <c r="AA275" s="421">
        <v>73.736999999999995</v>
      </c>
      <c r="AB275" s="421">
        <v>29.978000000000002</v>
      </c>
      <c r="AC275" s="454">
        <v>5</v>
      </c>
      <c r="AE275" s="419" t="s">
        <v>2167</v>
      </c>
      <c r="AF275" s="454">
        <v>1</v>
      </c>
      <c r="AG275" s="429">
        <v>43101</v>
      </c>
      <c r="AJ275" s="430">
        <v>43234</v>
      </c>
      <c r="AL275" s="424" t="s">
        <v>914</v>
      </c>
      <c r="AO275" s="445"/>
      <c r="AP275" s="454">
        <v>556702</v>
      </c>
      <c r="AQ275" s="431">
        <v>43234</v>
      </c>
      <c r="AT275" s="426"/>
      <c r="AU275" s="426"/>
      <c r="AV275" s="426"/>
      <c r="AY275" s="427" t="s">
        <v>1720</v>
      </c>
      <c r="AZ275" s="373"/>
      <c r="BB275" s="374" t="s">
        <v>1726</v>
      </c>
      <c r="BC275" s="445"/>
      <c r="BE275" s="448">
        <v>0</v>
      </c>
      <c r="BF275" s="449">
        <v>0</v>
      </c>
      <c r="BG275" s="428" t="s">
        <v>1764</v>
      </c>
      <c r="BH275" s="445"/>
      <c r="BI275" s="491"/>
      <c r="BJ275" s="491">
        <v>8</v>
      </c>
      <c r="BK275" s="445" t="s">
        <v>142</v>
      </c>
      <c r="BL275" s="419" t="s">
        <v>3003</v>
      </c>
      <c r="BM275" s="445"/>
      <c r="BN275" s="419" t="s">
        <v>1765</v>
      </c>
      <c r="BO275" s="419" t="s">
        <v>1765</v>
      </c>
      <c r="BP275" s="419" t="s">
        <v>1765</v>
      </c>
      <c r="BQ275" s="419" t="s">
        <v>1269</v>
      </c>
      <c r="BR275" s="419"/>
      <c r="BS275" s="419"/>
      <c r="BT275" s="445"/>
      <c r="BU275" s="445"/>
      <c r="BV275" s="445"/>
      <c r="BW275" s="445" t="s">
        <v>2150</v>
      </c>
      <c r="BX275" s="445"/>
      <c r="BY275" s="445"/>
    </row>
    <row r="276" spans="1:77" ht="15">
      <c r="A276" s="370" t="s">
        <v>1269</v>
      </c>
      <c r="B276" s="415" t="s">
        <v>216</v>
      </c>
      <c r="C276" s="416" t="s">
        <v>1767</v>
      </c>
      <c r="D276" s="444">
        <v>0</v>
      </c>
      <c r="E276" s="415" t="s">
        <v>1716</v>
      </c>
      <c r="F276" s="444">
        <v>3</v>
      </c>
      <c r="G276" s="415" t="s">
        <v>1661</v>
      </c>
      <c r="H276" s="444">
        <v>54</v>
      </c>
      <c r="I276" s="417" t="s">
        <v>1423</v>
      </c>
      <c r="J276" s="444">
        <v>1</v>
      </c>
      <c r="K276" s="444">
        <v>55</v>
      </c>
      <c r="L276" s="444">
        <v>0</v>
      </c>
      <c r="M276" s="444">
        <v>0</v>
      </c>
      <c r="N276" s="444">
        <v>3</v>
      </c>
      <c r="O276" s="444">
        <v>0</v>
      </c>
      <c r="P276" s="444">
        <v>0</v>
      </c>
      <c r="Q276" s="444">
        <v>0</v>
      </c>
      <c r="R276" s="444">
        <v>0</v>
      </c>
      <c r="S276" s="444">
        <v>1</v>
      </c>
      <c r="T276" s="444">
        <v>27</v>
      </c>
      <c r="U276" s="444">
        <v>0</v>
      </c>
      <c r="V276" s="444">
        <v>0</v>
      </c>
      <c r="W276" s="444">
        <v>0</v>
      </c>
      <c r="X276" s="418"/>
      <c r="Y276" s="445"/>
      <c r="Z276" s="420"/>
      <c r="AA276" s="421">
        <v>73.584999999999994</v>
      </c>
      <c r="AB276" s="421">
        <v>29.978000000000002</v>
      </c>
      <c r="AC276" s="454">
        <v>2</v>
      </c>
      <c r="AE276" s="419" t="s">
        <v>2168</v>
      </c>
      <c r="AF276" s="454">
        <v>1</v>
      </c>
      <c r="AG276" s="429">
        <v>43101</v>
      </c>
      <c r="AJ276" s="430">
        <v>43234</v>
      </c>
      <c r="AL276" s="424" t="s">
        <v>914</v>
      </c>
      <c r="AO276" s="445"/>
      <c r="AP276" s="454">
        <v>556702</v>
      </c>
      <c r="AQ276" s="431">
        <v>43234</v>
      </c>
      <c r="AT276" s="426"/>
      <c r="AU276" s="426"/>
      <c r="AV276" s="426"/>
      <c r="AY276" s="427" t="s">
        <v>1720</v>
      </c>
      <c r="AZ276" s="373"/>
      <c r="BB276" s="374" t="s">
        <v>1726</v>
      </c>
      <c r="BC276" s="445"/>
      <c r="BE276" s="448">
        <v>0</v>
      </c>
      <c r="BF276" s="449">
        <v>0</v>
      </c>
      <c r="BG276" s="428" t="s">
        <v>1764</v>
      </c>
      <c r="BH276" s="445"/>
      <c r="BI276" s="491"/>
      <c r="BJ276" s="491">
        <v>9</v>
      </c>
      <c r="BK276" s="445" t="s">
        <v>3004</v>
      </c>
      <c r="BL276" s="419" t="s">
        <v>3005</v>
      </c>
      <c r="BM276" s="445"/>
      <c r="BN276" s="419" t="s">
        <v>1765</v>
      </c>
      <c r="BO276" s="419" t="s">
        <v>1765</v>
      </c>
      <c r="BP276" s="419" t="s">
        <v>1765</v>
      </c>
      <c r="BQ276" s="419" t="s">
        <v>1269</v>
      </c>
      <c r="BR276" s="419"/>
      <c r="BS276" s="419"/>
      <c r="BT276" s="445"/>
      <c r="BU276" s="445"/>
      <c r="BV276" s="445"/>
      <c r="BW276" s="445" t="s">
        <v>2150</v>
      </c>
      <c r="BX276" s="445"/>
      <c r="BY276" s="445"/>
    </row>
    <row r="277" spans="1:77" ht="15">
      <c r="A277" s="370" t="s">
        <v>1269</v>
      </c>
      <c r="B277" s="415" t="s">
        <v>216</v>
      </c>
      <c r="C277" s="416" t="s">
        <v>1767</v>
      </c>
      <c r="D277" s="444">
        <v>0</v>
      </c>
      <c r="E277" s="415" t="s">
        <v>1716</v>
      </c>
      <c r="F277" s="444">
        <v>3</v>
      </c>
      <c r="G277" s="415" t="s">
        <v>1661</v>
      </c>
      <c r="H277" s="444">
        <v>53</v>
      </c>
      <c r="I277" s="417" t="s">
        <v>2169</v>
      </c>
      <c r="J277" s="444">
        <v>1</v>
      </c>
      <c r="K277" s="444">
        <v>68</v>
      </c>
      <c r="L277" s="444">
        <v>0</v>
      </c>
      <c r="M277" s="444">
        <v>0</v>
      </c>
      <c r="N277" s="444">
        <v>1</v>
      </c>
      <c r="O277" s="444">
        <v>0</v>
      </c>
      <c r="P277" s="444">
        <v>0</v>
      </c>
      <c r="Q277" s="444">
        <v>0</v>
      </c>
      <c r="R277" s="444">
        <v>0</v>
      </c>
      <c r="S277" s="444">
        <v>0</v>
      </c>
      <c r="T277" s="444">
        <v>14</v>
      </c>
      <c r="U277" s="444">
        <v>0</v>
      </c>
      <c r="V277" s="444">
        <v>0</v>
      </c>
      <c r="W277" s="444">
        <v>0</v>
      </c>
      <c r="X277" s="418"/>
      <c r="Y277" s="445"/>
      <c r="Z277" s="420"/>
      <c r="AA277" s="421">
        <v>109.339</v>
      </c>
      <c r="AB277" s="421">
        <v>29.978000000000002</v>
      </c>
      <c r="AC277" s="454">
        <v>1</v>
      </c>
      <c r="AE277" s="419" t="s">
        <v>2170</v>
      </c>
      <c r="AF277" s="454">
        <v>1</v>
      </c>
      <c r="AG277" s="429">
        <v>43101</v>
      </c>
      <c r="AJ277" s="430">
        <v>43234</v>
      </c>
      <c r="AL277" s="424" t="s">
        <v>914</v>
      </c>
      <c r="AO277" s="445"/>
      <c r="AP277" s="454">
        <v>556702</v>
      </c>
      <c r="AQ277" s="431">
        <v>43234</v>
      </c>
      <c r="AT277" s="426"/>
      <c r="AU277" s="426"/>
      <c r="AV277" s="426"/>
      <c r="AY277" s="427" t="s">
        <v>1720</v>
      </c>
      <c r="AZ277" s="373"/>
      <c r="BB277" s="374" t="s">
        <v>1726</v>
      </c>
      <c r="BC277" s="445"/>
      <c r="BE277" s="448">
        <v>0</v>
      </c>
      <c r="BF277" s="449">
        <v>0</v>
      </c>
      <c r="BG277" s="428" t="s">
        <v>1764</v>
      </c>
      <c r="BH277" s="445"/>
      <c r="BI277" s="491"/>
      <c r="BJ277" s="491">
        <v>10</v>
      </c>
      <c r="BK277" s="445" t="s">
        <v>3006</v>
      </c>
      <c r="BL277" s="419" t="s">
        <v>3007</v>
      </c>
      <c r="BM277" s="445"/>
      <c r="BN277" s="419" t="s">
        <v>1765</v>
      </c>
      <c r="BO277" s="419" t="s">
        <v>1765</v>
      </c>
      <c r="BP277" s="419" t="s">
        <v>1765</v>
      </c>
      <c r="BQ277" s="419" t="s">
        <v>1269</v>
      </c>
      <c r="BR277" s="419"/>
      <c r="BS277" s="419"/>
      <c r="BT277" s="445"/>
      <c r="BU277" s="445"/>
      <c r="BV277" s="445"/>
      <c r="BW277" s="445" t="s">
        <v>2150</v>
      </c>
      <c r="BX277" s="445"/>
      <c r="BY277" s="445"/>
    </row>
    <row r="278" spans="1:77" ht="15">
      <c r="A278" s="370" t="s">
        <v>1269</v>
      </c>
      <c r="B278" s="415" t="s">
        <v>216</v>
      </c>
      <c r="C278" s="416" t="s">
        <v>1767</v>
      </c>
      <c r="D278" s="444">
        <v>0</v>
      </c>
      <c r="E278" s="415" t="s">
        <v>1716</v>
      </c>
      <c r="F278" s="444">
        <v>3</v>
      </c>
      <c r="G278" s="415" t="s">
        <v>1661</v>
      </c>
      <c r="H278" s="444">
        <v>53</v>
      </c>
      <c r="I278" s="417" t="s">
        <v>1422</v>
      </c>
      <c r="J278" s="444">
        <v>1</v>
      </c>
      <c r="K278" s="444">
        <v>78</v>
      </c>
      <c r="L278" s="444">
        <v>0</v>
      </c>
      <c r="M278" s="444">
        <v>3</v>
      </c>
      <c r="N278" s="444">
        <v>0</v>
      </c>
      <c r="O278" s="444">
        <v>0</v>
      </c>
      <c r="P278" s="444">
        <v>0</v>
      </c>
      <c r="Q278" s="444">
        <v>0</v>
      </c>
      <c r="R278" s="444">
        <v>19</v>
      </c>
      <c r="S278" s="444">
        <v>1</v>
      </c>
      <c r="T278" s="444">
        <v>0</v>
      </c>
      <c r="U278" s="444">
        <v>0</v>
      </c>
      <c r="V278" s="444">
        <v>0</v>
      </c>
      <c r="W278" s="444">
        <v>0</v>
      </c>
      <c r="X278" s="418"/>
      <c r="Y278" s="445"/>
      <c r="Z278" s="420"/>
      <c r="AA278" s="421">
        <v>94.004999999999995</v>
      </c>
      <c r="AB278" s="421">
        <v>29.978000000000002</v>
      </c>
      <c r="AC278" s="454">
        <v>2</v>
      </c>
      <c r="AE278" s="419" t="s">
        <v>2171</v>
      </c>
      <c r="AF278" s="454">
        <v>1</v>
      </c>
      <c r="AG278" s="429">
        <v>43101</v>
      </c>
      <c r="AJ278" s="430">
        <v>43234</v>
      </c>
      <c r="AL278" s="424" t="s">
        <v>914</v>
      </c>
      <c r="AO278" s="445"/>
      <c r="AP278" s="454">
        <v>556702</v>
      </c>
      <c r="AQ278" s="431">
        <v>43234</v>
      </c>
      <c r="AT278" s="426"/>
      <c r="AU278" s="426"/>
      <c r="AV278" s="426"/>
      <c r="AY278" s="427" t="s">
        <v>1720</v>
      </c>
      <c r="AZ278" s="373"/>
      <c r="BB278" s="374" t="s">
        <v>1726</v>
      </c>
      <c r="BC278" s="445"/>
      <c r="BE278" s="448">
        <v>0</v>
      </c>
      <c r="BF278" s="449">
        <v>0</v>
      </c>
      <c r="BG278" s="428" t="s">
        <v>1764</v>
      </c>
      <c r="BH278" s="445"/>
      <c r="BI278" s="491"/>
      <c r="BJ278" s="491">
        <v>11</v>
      </c>
      <c r="BK278" s="445" t="s">
        <v>3008</v>
      </c>
      <c r="BL278" s="419" t="s">
        <v>3009</v>
      </c>
      <c r="BM278" s="445"/>
      <c r="BN278" s="419" t="s">
        <v>1765</v>
      </c>
      <c r="BO278" s="419" t="s">
        <v>1765</v>
      </c>
      <c r="BP278" s="419" t="s">
        <v>1765</v>
      </c>
      <c r="BQ278" s="419" t="s">
        <v>1269</v>
      </c>
      <c r="BR278" s="419"/>
      <c r="BS278" s="419"/>
      <c r="BT278" s="445"/>
      <c r="BU278" s="445"/>
      <c r="BV278" s="445"/>
      <c r="BW278" s="445" t="s">
        <v>2150</v>
      </c>
      <c r="BX278" s="445"/>
      <c r="BY278" s="445"/>
    </row>
    <row r="279" spans="1:77" ht="15">
      <c r="A279" s="370" t="s">
        <v>1269</v>
      </c>
      <c r="B279" s="415" t="s">
        <v>216</v>
      </c>
      <c r="C279" s="416" t="s">
        <v>1767</v>
      </c>
      <c r="D279" s="444">
        <v>0</v>
      </c>
      <c r="E279" s="415" t="s">
        <v>1716</v>
      </c>
      <c r="F279" s="444">
        <v>3</v>
      </c>
      <c r="G279" s="415" t="s">
        <v>1661</v>
      </c>
      <c r="H279" s="444">
        <v>53</v>
      </c>
      <c r="I279" s="417" t="s">
        <v>1663</v>
      </c>
      <c r="J279" s="444">
        <v>2</v>
      </c>
      <c r="K279" s="444">
        <v>189</v>
      </c>
      <c r="L279" s="444">
        <v>0</v>
      </c>
      <c r="M279" s="444">
        <v>13</v>
      </c>
      <c r="N279" s="444">
        <v>0</v>
      </c>
      <c r="O279" s="444">
        <v>0</v>
      </c>
      <c r="P279" s="444">
        <v>0</v>
      </c>
      <c r="Q279" s="444">
        <v>0</v>
      </c>
      <c r="R279" s="444">
        <v>57</v>
      </c>
      <c r="S279" s="444">
        <v>1</v>
      </c>
      <c r="T279" s="444">
        <v>0</v>
      </c>
      <c r="U279" s="444">
        <v>0</v>
      </c>
      <c r="V279" s="444">
        <v>0</v>
      </c>
      <c r="W279" s="444">
        <v>0</v>
      </c>
      <c r="X279" s="418"/>
      <c r="Y279" s="445"/>
      <c r="Z279" s="420"/>
      <c r="AA279" s="421">
        <v>81.66</v>
      </c>
      <c r="AB279" s="421">
        <v>29.978000000000002</v>
      </c>
      <c r="AC279" s="454">
        <v>10</v>
      </c>
      <c r="AE279" s="419" t="s">
        <v>2172</v>
      </c>
      <c r="AF279" s="454">
        <v>1</v>
      </c>
      <c r="AG279" s="429">
        <v>43101</v>
      </c>
      <c r="AJ279" s="430">
        <v>43234</v>
      </c>
      <c r="AL279" s="424" t="s">
        <v>914</v>
      </c>
      <c r="AO279" s="445"/>
      <c r="AP279" s="454">
        <v>556702</v>
      </c>
      <c r="AQ279" s="431">
        <v>43234</v>
      </c>
      <c r="AT279" s="426"/>
      <c r="AU279" s="426"/>
      <c r="AV279" s="426"/>
      <c r="AY279" s="427" t="s">
        <v>1720</v>
      </c>
      <c r="AZ279" s="373"/>
      <c r="BB279" s="374" t="s">
        <v>1726</v>
      </c>
      <c r="BC279" s="445"/>
      <c r="BE279" s="448">
        <v>0</v>
      </c>
      <c r="BF279" s="449">
        <v>0</v>
      </c>
      <c r="BG279" s="428" t="s">
        <v>1764</v>
      </c>
      <c r="BH279" s="445"/>
      <c r="BI279" s="491"/>
      <c r="BJ279" s="491">
        <v>12</v>
      </c>
      <c r="BK279" s="445" t="s">
        <v>3010</v>
      </c>
      <c r="BL279" s="419" t="s">
        <v>3011</v>
      </c>
      <c r="BM279" s="445"/>
      <c r="BN279" s="419" t="s">
        <v>1765</v>
      </c>
      <c r="BO279" s="419" t="s">
        <v>1765</v>
      </c>
      <c r="BP279" s="419" t="s">
        <v>1765</v>
      </c>
      <c r="BQ279" s="419" t="s">
        <v>1269</v>
      </c>
      <c r="BR279" s="419"/>
      <c r="BS279" s="419"/>
      <c r="BT279" s="445"/>
      <c r="BU279" s="445"/>
      <c r="BV279" s="445"/>
      <c r="BW279" s="445" t="s">
        <v>2150</v>
      </c>
      <c r="BX279" s="445"/>
      <c r="BY279" s="445"/>
    </row>
    <row r="280" spans="1:77" ht="15">
      <c r="A280" s="370" t="s">
        <v>1269</v>
      </c>
      <c r="B280" s="415" t="s">
        <v>216</v>
      </c>
      <c r="C280" s="416" t="s">
        <v>1767</v>
      </c>
      <c r="D280" s="444">
        <v>0</v>
      </c>
      <c r="E280" s="415" t="s">
        <v>1716</v>
      </c>
      <c r="F280" s="444">
        <v>3</v>
      </c>
      <c r="G280" s="415" t="s">
        <v>1661</v>
      </c>
      <c r="H280" s="444">
        <v>54</v>
      </c>
      <c r="I280" s="417" t="s">
        <v>1422</v>
      </c>
      <c r="J280" s="444">
        <v>0.4</v>
      </c>
      <c r="K280" s="444">
        <v>47</v>
      </c>
      <c r="L280" s="444">
        <v>0</v>
      </c>
      <c r="M280" s="444">
        <v>0</v>
      </c>
      <c r="N280" s="444">
        <v>0</v>
      </c>
      <c r="O280" s="444">
        <v>0</v>
      </c>
      <c r="P280" s="444">
        <v>0</v>
      </c>
      <c r="Q280" s="444">
        <v>0</v>
      </c>
      <c r="R280" s="444">
        <v>0</v>
      </c>
      <c r="S280" s="444">
        <v>5</v>
      </c>
      <c r="T280" s="444">
        <v>0</v>
      </c>
      <c r="U280" s="444">
        <v>0</v>
      </c>
      <c r="V280" s="444">
        <v>0</v>
      </c>
      <c r="W280" s="444">
        <v>0</v>
      </c>
      <c r="X280" s="418"/>
      <c r="Y280" s="445"/>
      <c r="Z280" s="420"/>
      <c r="AA280" s="421">
        <v>124.059</v>
      </c>
      <c r="AB280" s="421">
        <v>29.978000000000002</v>
      </c>
      <c r="AC280" s="454">
        <v>1</v>
      </c>
      <c r="AE280" s="419" t="s">
        <v>2173</v>
      </c>
      <c r="AF280" s="454">
        <v>1</v>
      </c>
      <c r="AG280" s="429">
        <v>43101</v>
      </c>
      <c r="AJ280" s="430">
        <v>43234</v>
      </c>
      <c r="AL280" s="424" t="s">
        <v>914</v>
      </c>
      <c r="AO280" s="445"/>
      <c r="AP280" s="454">
        <v>556702</v>
      </c>
      <c r="AQ280" s="431">
        <v>43234</v>
      </c>
      <c r="AT280" s="426"/>
      <c r="AU280" s="426"/>
      <c r="AV280" s="426"/>
      <c r="AY280" s="427" t="s">
        <v>1720</v>
      </c>
      <c r="AZ280" s="373"/>
      <c r="BB280" s="374" t="s">
        <v>1726</v>
      </c>
      <c r="BC280" s="445"/>
      <c r="BE280" s="448">
        <v>0</v>
      </c>
      <c r="BF280" s="449">
        <v>0</v>
      </c>
      <c r="BG280" s="428" t="s">
        <v>1764</v>
      </c>
      <c r="BH280" s="445"/>
      <c r="BI280" s="491"/>
      <c r="BJ280" s="491">
        <v>13</v>
      </c>
      <c r="BK280" s="445" t="s">
        <v>3012</v>
      </c>
      <c r="BL280" s="419" t="s">
        <v>3013</v>
      </c>
      <c r="BM280" s="445"/>
      <c r="BN280" s="419" t="s">
        <v>1765</v>
      </c>
      <c r="BO280" s="419" t="s">
        <v>1765</v>
      </c>
      <c r="BP280" s="419" t="s">
        <v>1765</v>
      </c>
      <c r="BQ280" s="419" t="s">
        <v>1269</v>
      </c>
      <c r="BR280" s="419"/>
      <c r="BS280" s="419"/>
      <c r="BT280" s="445"/>
      <c r="BU280" s="445"/>
      <c r="BV280" s="445"/>
      <c r="BW280" s="445" t="s">
        <v>2150</v>
      </c>
      <c r="BX280" s="445"/>
      <c r="BY280" s="445"/>
    </row>
    <row r="281" spans="1:77" ht="15">
      <c r="A281" s="370" t="s">
        <v>1269</v>
      </c>
      <c r="B281" s="415" t="s">
        <v>216</v>
      </c>
      <c r="C281" s="416" t="s">
        <v>1767</v>
      </c>
      <c r="D281" s="444">
        <v>0</v>
      </c>
      <c r="E281" s="415" t="s">
        <v>1716</v>
      </c>
      <c r="F281" s="444">
        <v>3</v>
      </c>
      <c r="G281" s="415" t="s">
        <v>1661</v>
      </c>
      <c r="H281" s="444">
        <v>54</v>
      </c>
      <c r="I281" s="417" t="s">
        <v>1428</v>
      </c>
      <c r="J281" s="444">
        <v>0.6</v>
      </c>
      <c r="K281" s="444">
        <v>100</v>
      </c>
      <c r="L281" s="444">
        <v>0</v>
      </c>
      <c r="M281" s="444">
        <v>0</v>
      </c>
      <c r="N281" s="444">
        <v>0</v>
      </c>
      <c r="O281" s="444">
        <v>0</v>
      </c>
      <c r="P281" s="444">
        <v>0</v>
      </c>
      <c r="Q281" s="444">
        <v>0</v>
      </c>
      <c r="R281" s="444">
        <v>0</v>
      </c>
      <c r="S281" s="444">
        <v>11</v>
      </c>
      <c r="T281" s="444">
        <v>0</v>
      </c>
      <c r="U281" s="444">
        <v>0</v>
      </c>
      <c r="V281" s="444">
        <v>0</v>
      </c>
      <c r="W281" s="444">
        <v>0</v>
      </c>
      <c r="X281" s="418"/>
      <c r="Y281" s="445"/>
      <c r="Z281" s="420"/>
      <c r="AA281" s="421">
        <v>124.06</v>
      </c>
      <c r="AB281" s="421">
        <v>29.978000000000002</v>
      </c>
      <c r="AC281" s="454">
        <v>1</v>
      </c>
      <c r="AE281" s="419" t="s">
        <v>2174</v>
      </c>
      <c r="AF281" s="454">
        <v>1</v>
      </c>
      <c r="AG281" s="429">
        <v>43101</v>
      </c>
      <c r="AJ281" s="430">
        <v>43234</v>
      </c>
      <c r="AL281" s="424" t="s">
        <v>914</v>
      </c>
      <c r="AO281" s="445"/>
      <c r="AP281" s="454">
        <v>556702</v>
      </c>
      <c r="AQ281" s="431">
        <v>43234</v>
      </c>
      <c r="AT281" s="426"/>
      <c r="AU281" s="426"/>
      <c r="AV281" s="426"/>
      <c r="AY281" s="427" t="s">
        <v>1720</v>
      </c>
      <c r="AZ281" s="373"/>
      <c r="BB281" s="374" t="s">
        <v>1726</v>
      </c>
      <c r="BC281" s="445"/>
      <c r="BE281" s="448">
        <v>0</v>
      </c>
      <c r="BF281" s="449">
        <v>0</v>
      </c>
      <c r="BG281" s="428" t="s">
        <v>1764</v>
      </c>
      <c r="BH281" s="445"/>
      <c r="BI281" s="491"/>
      <c r="BJ281" s="491">
        <v>14</v>
      </c>
      <c r="BK281" s="445" t="s">
        <v>3014</v>
      </c>
      <c r="BL281" s="419" t="s">
        <v>3015</v>
      </c>
      <c r="BM281" s="445"/>
      <c r="BN281" s="419" t="s">
        <v>1765</v>
      </c>
      <c r="BO281" s="419" t="s">
        <v>1765</v>
      </c>
      <c r="BP281" s="419" t="s">
        <v>1765</v>
      </c>
      <c r="BQ281" s="419" t="s">
        <v>1269</v>
      </c>
      <c r="BR281" s="419"/>
      <c r="BS281" s="419"/>
      <c r="BT281" s="445"/>
      <c r="BU281" s="445"/>
      <c r="BV281" s="445"/>
      <c r="BW281" s="445" t="s">
        <v>2150</v>
      </c>
      <c r="BX281" s="445"/>
      <c r="BY281" s="445"/>
    </row>
    <row r="282" spans="1:77" ht="15">
      <c r="A282" s="370" t="s">
        <v>1269</v>
      </c>
      <c r="B282" s="415" t="s">
        <v>216</v>
      </c>
      <c r="C282" s="416" t="s">
        <v>1767</v>
      </c>
      <c r="D282" s="444">
        <v>0</v>
      </c>
      <c r="E282" s="415" t="s">
        <v>1716</v>
      </c>
      <c r="F282" s="444">
        <v>3</v>
      </c>
      <c r="G282" s="415" t="s">
        <v>1661</v>
      </c>
      <c r="H282" s="444">
        <v>54</v>
      </c>
      <c r="I282" s="417" t="s">
        <v>1685</v>
      </c>
      <c r="J282" s="444">
        <v>0.7</v>
      </c>
      <c r="K282" s="444">
        <v>174</v>
      </c>
      <c r="L282" s="444">
        <v>0</v>
      </c>
      <c r="M282" s="444">
        <v>8</v>
      </c>
      <c r="N282" s="444">
        <v>0</v>
      </c>
      <c r="O282" s="444">
        <v>0</v>
      </c>
      <c r="P282" s="444">
        <v>0</v>
      </c>
      <c r="Q282" s="444">
        <v>0</v>
      </c>
      <c r="R282" s="444">
        <v>0</v>
      </c>
      <c r="S282" s="444">
        <v>31</v>
      </c>
      <c r="T282" s="444">
        <v>2</v>
      </c>
      <c r="U282" s="444">
        <v>0</v>
      </c>
      <c r="V282" s="444">
        <v>0</v>
      </c>
      <c r="W282" s="444">
        <v>0</v>
      </c>
      <c r="X282" s="418"/>
      <c r="Y282" s="445"/>
      <c r="Z282" s="420"/>
      <c r="AA282" s="421">
        <v>81.129000000000005</v>
      </c>
      <c r="AB282" s="421">
        <v>29.978000000000002</v>
      </c>
      <c r="AC282" s="454">
        <v>6</v>
      </c>
      <c r="AE282" s="419" t="s">
        <v>2175</v>
      </c>
      <c r="AF282" s="454">
        <v>1</v>
      </c>
      <c r="AG282" s="429">
        <v>43101</v>
      </c>
      <c r="AJ282" s="430">
        <v>43234</v>
      </c>
      <c r="AL282" s="424" t="s">
        <v>914</v>
      </c>
      <c r="AO282" s="445"/>
      <c r="AP282" s="454">
        <v>556702</v>
      </c>
      <c r="AQ282" s="431">
        <v>43234</v>
      </c>
      <c r="AT282" s="426"/>
      <c r="AU282" s="426"/>
      <c r="AV282" s="426"/>
      <c r="AY282" s="427" t="s">
        <v>1720</v>
      </c>
      <c r="AZ282" s="373"/>
      <c r="BB282" s="374" t="s">
        <v>1726</v>
      </c>
      <c r="BC282" s="445"/>
      <c r="BE282" s="448">
        <v>0</v>
      </c>
      <c r="BF282" s="449">
        <v>0</v>
      </c>
      <c r="BG282" s="428" t="s">
        <v>1764</v>
      </c>
      <c r="BH282" s="445"/>
      <c r="BI282" s="491"/>
      <c r="BJ282" s="491">
        <v>15</v>
      </c>
      <c r="BK282" s="445" t="s">
        <v>3016</v>
      </c>
      <c r="BL282" s="419" t="s">
        <v>3017</v>
      </c>
      <c r="BM282" s="445"/>
      <c r="BN282" s="419" t="s">
        <v>1765</v>
      </c>
      <c r="BO282" s="419" t="s">
        <v>1765</v>
      </c>
      <c r="BP282" s="419" t="s">
        <v>1765</v>
      </c>
      <c r="BQ282" s="419" t="s">
        <v>1269</v>
      </c>
      <c r="BR282" s="419"/>
      <c r="BS282" s="419"/>
      <c r="BT282" s="445"/>
      <c r="BU282" s="445"/>
      <c r="BV282" s="445"/>
      <c r="BW282" s="445" t="s">
        <v>2150</v>
      </c>
      <c r="BX282" s="445"/>
      <c r="BY282" s="445"/>
    </row>
    <row r="283" spans="1:77" ht="15">
      <c r="A283" s="370" t="s">
        <v>1269</v>
      </c>
      <c r="B283" s="415" t="s">
        <v>216</v>
      </c>
      <c r="C283" s="416" t="s">
        <v>1767</v>
      </c>
      <c r="D283" s="444">
        <v>0</v>
      </c>
      <c r="E283" s="415" t="s">
        <v>1716</v>
      </c>
      <c r="F283" s="444">
        <v>3</v>
      </c>
      <c r="G283" s="415" t="s">
        <v>1661</v>
      </c>
      <c r="H283" s="444">
        <v>55</v>
      </c>
      <c r="I283" s="417" t="s">
        <v>1422</v>
      </c>
      <c r="J283" s="444">
        <v>2</v>
      </c>
      <c r="K283" s="444">
        <v>248</v>
      </c>
      <c r="L283" s="444">
        <v>0</v>
      </c>
      <c r="M283" s="444">
        <v>16</v>
      </c>
      <c r="N283" s="444">
        <v>0</v>
      </c>
      <c r="O283" s="444">
        <v>0</v>
      </c>
      <c r="P283" s="444">
        <v>0</v>
      </c>
      <c r="Q283" s="444">
        <v>0</v>
      </c>
      <c r="R283" s="444">
        <v>0</v>
      </c>
      <c r="S283" s="444">
        <v>51</v>
      </c>
      <c r="T283" s="444">
        <v>1</v>
      </c>
      <c r="U283" s="444">
        <v>0</v>
      </c>
      <c r="V283" s="444">
        <v>0</v>
      </c>
      <c r="W283" s="444">
        <v>0</v>
      </c>
      <c r="X283" s="418"/>
      <c r="Y283" s="445"/>
      <c r="Z283" s="420"/>
      <c r="AA283" s="421">
        <v>75.216999999999999</v>
      </c>
      <c r="AB283" s="421">
        <v>29.978000000000002</v>
      </c>
      <c r="AC283" s="454">
        <v>1</v>
      </c>
      <c r="AE283" s="419" t="s">
        <v>2176</v>
      </c>
      <c r="AF283" s="454">
        <v>1</v>
      </c>
      <c r="AG283" s="429">
        <v>43101</v>
      </c>
      <c r="AJ283" s="430">
        <v>43234</v>
      </c>
      <c r="AL283" s="424" t="s">
        <v>914</v>
      </c>
      <c r="AO283" s="445"/>
      <c r="AP283" s="454">
        <v>556702</v>
      </c>
      <c r="AQ283" s="431">
        <v>43234</v>
      </c>
      <c r="AT283" s="426"/>
      <c r="AU283" s="426"/>
      <c r="AV283" s="426"/>
      <c r="AY283" s="427" t="s">
        <v>1720</v>
      </c>
      <c r="AZ283" s="373"/>
      <c r="BB283" s="374" t="s">
        <v>1726</v>
      </c>
      <c r="BC283" s="445"/>
      <c r="BE283" s="448">
        <v>0</v>
      </c>
      <c r="BF283" s="449">
        <v>0</v>
      </c>
      <c r="BG283" s="428" t="s">
        <v>1764</v>
      </c>
      <c r="BH283" s="445"/>
      <c r="BI283" s="491"/>
      <c r="BJ283" s="491">
        <v>16</v>
      </c>
      <c r="BK283" s="445" t="s">
        <v>3018</v>
      </c>
      <c r="BL283" s="419" t="s">
        <v>3019</v>
      </c>
      <c r="BM283" s="445"/>
      <c r="BN283" s="419" t="s">
        <v>1765</v>
      </c>
      <c r="BO283" s="419" t="s">
        <v>1765</v>
      </c>
      <c r="BP283" s="419" t="s">
        <v>1765</v>
      </c>
      <c r="BQ283" s="419" t="s">
        <v>1269</v>
      </c>
      <c r="BR283" s="419"/>
      <c r="BS283" s="419"/>
      <c r="BT283" s="445"/>
      <c r="BU283" s="445"/>
      <c r="BV283" s="445"/>
      <c r="BW283" s="445" t="s">
        <v>2150</v>
      </c>
      <c r="BX283" s="445"/>
      <c r="BY283" s="445"/>
    </row>
    <row r="284" spans="1:77" ht="15">
      <c r="A284" s="370" t="s">
        <v>1269</v>
      </c>
      <c r="B284" s="415" t="s">
        <v>216</v>
      </c>
      <c r="C284" s="416" t="s">
        <v>1767</v>
      </c>
      <c r="D284" s="444">
        <v>0</v>
      </c>
      <c r="E284" s="415" t="s">
        <v>1716</v>
      </c>
      <c r="F284" s="444">
        <v>3</v>
      </c>
      <c r="G284" s="415" t="s">
        <v>1661</v>
      </c>
      <c r="H284" s="444">
        <v>55</v>
      </c>
      <c r="I284" s="417" t="s">
        <v>1436</v>
      </c>
      <c r="J284" s="444">
        <v>1</v>
      </c>
      <c r="K284" s="444">
        <v>77</v>
      </c>
      <c r="L284" s="444">
        <v>0</v>
      </c>
      <c r="M284" s="444">
        <v>0</v>
      </c>
      <c r="N284" s="444">
        <v>3</v>
      </c>
      <c r="O284" s="444">
        <v>0</v>
      </c>
      <c r="P284" s="444">
        <v>0</v>
      </c>
      <c r="Q284" s="444">
        <v>0</v>
      </c>
      <c r="R284" s="444">
        <v>0</v>
      </c>
      <c r="S284" s="444">
        <v>0</v>
      </c>
      <c r="T284" s="444">
        <v>17</v>
      </c>
      <c r="U284" s="444">
        <v>0</v>
      </c>
      <c r="V284" s="444">
        <v>0</v>
      </c>
      <c r="W284" s="444">
        <v>0</v>
      </c>
      <c r="X284" s="418"/>
      <c r="Y284" s="445"/>
      <c r="Z284" s="420"/>
      <c r="AA284" s="421">
        <v>94.741</v>
      </c>
      <c r="AB284" s="421">
        <v>29.978000000000002</v>
      </c>
      <c r="AC284" s="454">
        <v>1</v>
      </c>
      <c r="AE284" s="419" t="s">
        <v>2177</v>
      </c>
      <c r="AF284" s="454">
        <v>1</v>
      </c>
      <c r="AG284" s="429">
        <v>43101</v>
      </c>
      <c r="AJ284" s="430">
        <v>43234</v>
      </c>
      <c r="AL284" s="424" t="s">
        <v>914</v>
      </c>
      <c r="AO284" s="445"/>
      <c r="AP284" s="454">
        <v>556702</v>
      </c>
      <c r="AQ284" s="431">
        <v>43234</v>
      </c>
      <c r="AT284" s="426"/>
      <c r="AU284" s="426"/>
      <c r="AV284" s="426"/>
      <c r="AY284" s="427" t="s">
        <v>1720</v>
      </c>
      <c r="AZ284" s="373"/>
      <c r="BB284" s="374" t="s">
        <v>1726</v>
      </c>
      <c r="BC284" s="445"/>
      <c r="BE284" s="448">
        <v>0</v>
      </c>
      <c r="BF284" s="449">
        <v>0</v>
      </c>
      <c r="BG284" s="428" t="s">
        <v>1764</v>
      </c>
      <c r="BH284" s="445"/>
      <c r="BI284" s="491"/>
      <c r="BJ284" s="491">
        <v>17</v>
      </c>
      <c r="BK284" s="445" t="s">
        <v>3020</v>
      </c>
      <c r="BL284" s="419" t="s">
        <v>3021</v>
      </c>
      <c r="BM284" s="445"/>
      <c r="BN284" s="419" t="s">
        <v>1765</v>
      </c>
      <c r="BO284" s="419" t="s">
        <v>1765</v>
      </c>
      <c r="BP284" s="419" t="s">
        <v>1765</v>
      </c>
      <c r="BQ284" s="419" t="s">
        <v>1269</v>
      </c>
      <c r="BR284" s="419"/>
      <c r="BS284" s="419"/>
      <c r="BT284" s="445"/>
      <c r="BU284" s="445"/>
      <c r="BV284" s="445"/>
      <c r="BW284" s="445" t="s">
        <v>2150</v>
      </c>
      <c r="BX284" s="445"/>
      <c r="BY284" s="445"/>
    </row>
    <row r="285" spans="1:77" ht="15">
      <c r="A285" s="370" t="s">
        <v>1269</v>
      </c>
      <c r="B285" s="415" t="s">
        <v>216</v>
      </c>
      <c r="C285" s="416" t="s">
        <v>1767</v>
      </c>
      <c r="D285" s="444">
        <v>0</v>
      </c>
      <c r="E285" s="415" t="s">
        <v>1716</v>
      </c>
      <c r="F285" s="444">
        <v>3</v>
      </c>
      <c r="G285" s="415" t="s">
        <v>1661</v>
      </c>
      <c r="H285" s="444">
        <v>126</v>
      </c>
      <c r="I285" s="417" t="s">
        <v>1663</v>
      </c>
      <c r="J285" s="444">
        <v>1</v>
      </c>
      <c r="K285" s="444">
        <v>86</v>
      </c>
      <c r="L285" s="444">
        <v>0</v>
      </c>
      <c r="M285" s="444">
        <v>0</v>
      </c>
      <c r="N285" s="444">
        <v>2</v>
      </c>
      <c r="O285" s="444">
        <v>0</v>
      </c>
      <c r="P285" s="444">
        <v>0</v>
      </c>
      <c r="Q285" s="444">
        <v>0</v>
      </c>
      <c r="R285" s="444">
        <v>0</v>
      </c>
      <c r="S285" s="444">
        <v>9</v>
      </c>
      <c r="T285" s="444">
        <v>4</v>
      </c>
      <c r="U285" s="444">
        <v>0</v>
      </c>
      <c r="V285" s="444">
        <v>0</v>
      </c>
      <c r="W285" s="444">
        <v>0</v>
      </c>
      <c r="X285" s="418"/>
      <c r="Y285" s="445"/>
      <c r="Z285" s="420"/>
      <c r="AA285" s="421">
        <v>104.471</v>
      </c>
      <c r="AB285" s="421">
        <v>29.978000000000002</v>
      </c>
      <c r="AC285" s="454">
        <v>2</v>
      </c>
      <c r="AE285" s="419" t="s">
        <v>2178</v>
      </c>
      <c r="AF285" s="454">
        <v>1</v>
      </c>
      <c r="AG285" s="429">
        <v>43101</v>
      </c>
      <c r="AJ285" s="430">
        <v>43234</v>
      </c>
      <c r="AL285" s="424" t="s">
        <v>914</v>
      </c>
      <c r="AO285" s="445"/>
      <c r="AP285" s="454">
        <v>556702</v>
      </c>
      <c r="AQ285" s="431">
        <v>43234</v>
      </c>
      <c r="AT285" s="426"/>
      <c r="AU285" s="426"/>
      <c r="AV285" s="426"/>
      <c r="AY285" s="427" t="s">
        <v>1720</v>
      </c>
      <c r="AZ285" s="373"/>
      <c r="BB285" s="374" t="s">
        <v>1726</v>
      </c>
      <c r="BC285" s="445"/>
      <c r="BE285" s="448">
        <v>0</v>
      </c>
      <c r="BF285" s="449">
        <v>0</v>
      </c>
      <c r="BG285" s="428" t="s">
        <v>1764</v>
      </c>
      <c r="BH285" s="445"/>
      <c r="BI285" s="491"/>
      <c r="BJ285" s="491">
        <v>18</v>
      </c>
      <c r="BK285" s="445" t="s">
        <v>3022</v>
      </c>
      <c r="BL285" s="419" t="s">
        <v>3023</v>
      </c>
      <c r="BM285" s="445"/>
      <c r="BN285" s="419" t="s">
        <v>1765</v>
      </c>
      <c r="BO285" s="419" t="s">
        <v>1765</v>
      </c>
      <c r="BP285" s="419" t="s">
        <v>1765</v>
      </c>
      <c r="BQ285" s="419" t="s">
        <v>1269</v>
      </c>
      <c r="BR285" s="419"/>
      <c r="BS285" s="419"/>
      <c r="BT285" s="445"/>
      <c r="BU285" s="445"/>
      <c r="BV285" s="445"/>
      <c r="BW285" s="445" t="s">
        <v>2150</v>
      </c>
      <c r="BX285" s="445"/>
      <c r="BY285" s="445"/>
    </row>
    <row r="286" spans="1:77" ht="15">
      <c r="A286" s="370" t="s">
        <v>1269</v>
      </c>
      <c r="B286" s="415" t="s">
        <v>216</v>
      </c>
      <c r="C286" s="416" t="s">
        <v>1767</v>
      </c>
      <c r="D286" s="444">
        <v>0</v>
      </c>
      <c r="E286" s="415" t="s">
        <v>1716</v>
      </c>
      <c r="F286" s="444">
        <v>3</v>
      </c>
      <c r="G286" s="415" t="s">
        <v>1661</v>
      </c>
      <c r="H286" s="444">
        <v>126</v>
      </c>
      <c r="I286" s="417" t="s">
        <v>1663</v>
      </c>
      <c r="J286" s="444">
        <v>1</v>
      </c>
      <c r="K286" s="444">
        <v>86</v>
      </c>
      <c r="L286" s="444">
        <v>0</v>
      </c>
      <c r="M286" s="444">
        <v>0</v>
      </c>
      <c r="N286" s="444">
        <v>2</v>
      </c>
      <c r="O286" s="444">
        <v>0</v>
      </c>
      <c r="P286" s="444">
        <v>0</v>
      </c>
      <c r="Q286" s="444">
        <v>0</v>
      </c>
      <c r="R286" s="444">
        <v>0</v>
      </c>
      <c r="S286" s="444">
        <v>9</v>
      </c>
      <c r="T286" s="444">
        <v>4</v>
      </c>
      <c r="U286" s="444">
        <v>0</v>
      </c>
      <c r="V286" s="444">
        <v>0</v>
      </c>
      <c r="W286" s="444">
        <v>0</v>
      </c>
      <c r="X286" s="418"/>
      <c r="Y286" s="445"/>
      <c r="Z286" s="420"/>
      <c r="AA286" s="421">
        <v>104.471</v>
      </c>
      <c r="AB286" s="421">
        <v>29.978000000000002</v>
      </c>
      <c r="AC286" s="454">
        <v>2</v>
      </c>
      <c r="AE286" s="419" t="s">
        <v>2178</v>
      </c>
      <c r="AF286" s="454">
        <v>1</v>
      </c>
      <c r="AG286" s="429">
        <v>43101</v>
      </c>
      <c r="AJ286" s="430">
        <v>43234</v>
      </c>
      <c r="AL286" s="424" t="s">
        <v>914</v>
      </c>
      <c r="AO286" s="445"/>
      <c r="AP286" s="454">
        <v>556702</v>
      </c>
      <c r="AQ286" s="431">
        <v>43234</v>
      </c>
      <c r="AT286" s="426"/>
      <c r="AU286" s="426"/>
      <c r="AV286" s="426"/>
      <c r="AY286" s="427" t="s">
        <v>1720</v>
      </c>
      <c r="AZ286" s="373"/>
      <c r="BB286" s="374" t="s">
        <v>1726</v>
      </c>
      <c r="BC286" s="445"/>
      <c r="BE286" s="448">
        <v>0</v>
      </c>
      <c r="BF286" s="449">
        <v>0</v>
      </c>
      <c r="BG286" s="428" t="s">
        <v>1764</v>
      </c>
      <c r="BH286" s="445"/>
      <c r="BI286" s="491"/>
      <c r="BJ286" s="491">
        <v>18</v>
      </c>
      <c r="BK286" s="445" t="s">
        <v>3022</v>
      </c>
      <c r="BL286" s="419" t="s">
        <v>3023</v>
      </c>
      <c r="BM286" s="445"/>
      <c r="BN286" s="419" t="s">
        <v>1765</v>
      </c>
      <c r="BO286" s="419" t="s">
        <v>1765</v>
      </c>
      <c r="BP286" s="419" t="s">
        <v>1765</v>
      </c>
      <c r="BQ286" s="419" t="s">
        <v>1269</v>
      </c>
      <c r="BR286" s="419"/>
      <c r="BS286" s="419"/>
      <c r="BT286" s="445"/>
      <c r="BU286" s="445"/>
      <c r="BV286" s="445"/>
      <c r="BW286" s="445" t="s">
        <v>2150</v>
      </c>
      <c r="BX286" s="445"/>
      <c r="BY286" s="445"/>
    </row>
    <row r="287" spans="1:77" ht="15">
      <c r="A287" s="370" t="s">
        <v>1783</v>
      </c>
      <c r="B287" s="415" t="s">
        <v>177</v>
      </c>
      <c r="C287" s="416" t="s">
        <v>2081</v>
      </c>
      <c r="D287" s="444">
        <v>0</v>
      </c>
      <c r="E287" s="415" t="s">
        <v>1716</v>
      </c>
      <c r="F287" s="444">
        <v>3</v>
      </c>
      <c r="G287" s="415" t="s">
        <v>1750</v>
      </c>
      <c r="H287" s="444">
        <v>27</v>
      </c>
      <c r="I287" s="417" t="s">
        <v>1632</v>
      </c>
      <c r="J287" s="444">
        <v>1.5</v>
      </c>
      <c r="K287" s="444">
        <v>0</v>
      </c>
      <c r="L287" s="444"/>
      <c r="M287" s="444">
        <v>0</v>
      </c>
      <c r="N287" s="444">
        <v>220</v>
      </c>
      <c r="O287" s="444"/>
      <c r="P287" s="444"/>
      <c r="Q287" s="444">
        <v>0</v>
      </c>
      <c r="R287" s="444"/>
      <c r="S287" s="444">
        <v>0</v>
      </c>
      <c r="T287" s="444">
        <v>0</v>
      </c>
      <c r="U287" s="444"/>
      <c r="V287" s="444">
        <v>0</v>
      </c>
      <c r="W287" s="444">
        <v>0</v>
      </c>
      <c r="X287" s="418"/>
      <c r="Y287" s="445"/>
      <c r="Z287" s="420"/>
      <c r="AA287" s="421">
        <v>185.61</v>
      </c>
      <c r="AB287" s="421"/>
      <c r="AC287" s="454">
        <v>23</v>
      </c>
      <c r="AE287" s="419" t="s">
        <v>2179</v>
      </c>
      <c r="AF287" s="454">
        <v>1</v>
      </c>
      <c r="AG287" s="429">
        <v>43101</v>
      </c>
      <c r="AJ287" s="430">
        <v>43222</v>
      </c>
      <c r="AL287" s="424" t="s">
        <v>920</v>
      </c>
      <c r="AO287" s="445"/>
      <c r="AP287" s="454">
        <v>556667</v>
      </c>
      <c r="AQ287" s="431">
        <v>43192</v>
      </c>
      <c r="AR287" s="370">
        <v>0.3</v>
      </c>
      <c r="AT287" s="426"/>
      <c r="AU287" s="426"/>
      <c r="AV287" s="426"/>
      <c r="AY287" s="427" t="s">
        <v>1717</v>
      </c>
      <c r="AZ287" s="373"/>
      <c r="BB287" s="374" t="s">
        <v>1727</v>
      </c>
      <c r="BC287" s="445"/>
      <c r="BE287" s="448"/>
      <c r="BF287" s="449"/>
      <c r="BG287" s="428"/>
      <c r="BH287" s="445"/>
      <c r="BI287" s="491"/>
      <c r="BJ287" s="491">
        <v>1</v>
      </c>
      <c r="BK287" s="445" t="s">
        <v>3024</v>
      </c>
      <c r="BL287" s="419" t="s">
        <v>3025</v>
      </c>
      <c r="BM287" s="445"/>
      <c r="BN287" s="419"/>
      <c r="BO287" s="419"/>
      <c r="BP287" s="419"/>
      <c r="BQ287" s="419" t="s">
        <v>1783</v>
      </c>
      <c r="BR287" s="419">
        <v>2</v>
      </c>
      <c r="BS287" s="419"/>
      <c r="BT287" s="445"/>
      <c r="BU287" s="445"/>
      <c r="BV287" s="445"/>
      <c r="BW287" s="445" t="s">
        <v>2150</v>
      </c>
      <c r="BX287" s="445"/>
      <c r="BY287" s="445"/>
    </row>
    <row r="288" spans="1:77" ht="15">
      <c r="A288" s="370" t="s">
        <v>1783</v>
      </c>
      <c r="B288" s="415" t="s">
        <v>177</v>
      </c>
      <c r="C288" s="416" t="s">
        <v>2081</v>
      </c>
      <c r="D288" s="444">
        <v>0</v>
      </c>
      <c r="E288" s="415" t="s">
        <v>1716</v>
      </c>
      <c r="F288" s="444">
        <v>3</v>
      </c>
      <c r="G288" s="415" t="s">
        <v>1750</v>
      </c>
      <c r="H288" s="444">
        <v>27</v>
      </c>
      <c r="I288" s="417" t="s">
        <v>1685</v>
      </c>
      <c r="J288" s="444">
        <v>0.2</v>
      </c>
      <c r="K288" s="444">
        <v>0</v>
      </c>
      <c r="L288" s="444"/>
      <c r="M288" s="444">
        <v>0</v>
      </c>
      <c r="N288" s="444">
        <v>30</v>
      </c>
      <c r="O288" s="444"/>
      <c r="P288" s="444"/>
      <c r="Q288" s="444">
        <v>0</v>
      </c>
      <c r="R288" s="444"/>
      <c r="S288" s="444">
        <v>0</v>
      </c>
      <c r="T288" s="444">
        <v>0</v>
      </c>
      <c r="U288" s="444"/>
      <c r="V288" s="444">
        <v>0</v>
      </c>
      <c r="W288" s="444">
        <v>0</v>
      </c>
      <c r="X288" s="418"/>
      <c r="Y288" s="445"/>
      <c r="Z288" s="420"/>
      <c r="AA288" s="421">
        <v>185.59</v>
      </c>
      <c r="AB288" s="421"/>
      <c r="AC288" s="454">
        <v>23</v>
      </c>
      <c r="AE288" s="419" t="s">
        <v>2180</v>
      </c>
      <c r="AF288" s="454">
        <v>1</v>
      </c>
      <c r="AG288" s="429">
        <v>43101</v>
      </c>
      <c r="AJ288" s="430">
        <v>43222</v>
      </c>
      <c r="AL288" s="424" t="s">
        <v>920</v>
      </c>
      <c r="AO288" s="445"/>
      <c r="AP288" s="454">
        <v>556667</v>
      </c>
      <c r="AQ288" s="431">
        <v>43192</v>
      </c>
      <c r="AR288" s="370">
        <v>0.3</v>
      </c>
      <c r="AT288" s="426"/>
      <c r="AU288" s="426"/>
      <c r="AV288" s="426"/>
      <c r="AY288" s="427" t="s">
        <v>1717</v>
      </c>
      <c r="AZ288" s="373"/>
      <c r="BB288" s="374" t="s">
        <v>1727</v>
      </c>
      <c r="BC288" s="445"/>
      <c r="BE288" s="448"/>
      <c r="BF288" s="449"/>
      <c r="BG288" s="428"/>
      <c r="BH288" s="445"/>
      <c r="BI288" s="491"/>
      <c r="BJ288" s="491">
        <v>2</v>
      </c>
      <c r="BK288" s="445" t="s">
        <v>3026</v>
      </c>
      <c r="BL288" s="419" t="s">
        <v>3027</v>
      </c>
      <c r="BM288" s="445"/>
      <c r="BN288" s="419"/>
      <c r="BO288" s="419"/>
      <c r="BP288" s="419"/>
      <c r="BQ288" s="419" t="s">
        <v>1783</v>
      </c>
      <c r="BR288" s="419">
        <v>2</v>
      </c>
      <c r="BS288" s="419"/>
      <c r="BT288" s="445"/>
      <c r="BU288" s="445"/>
      <c r="BV288" s="445"/>
      <c r="BW288" s="445" t="s">
        <v>2150</v>
      </c>
      <c r="BX288" s="445"/>
      <c r="BY288" s="445"/>
    </row>
    <row r="289" spans="1:77" ht="15">
      <c r="A289" s="370" t="s">
        <v>1783</v>
      </c>
      <c r="B289" s="415" t="s">
        <v>177</v>
      </c>
      <c r="C289" s="416" t="s">
        <v>2081</v>
      </c>
      <c r="D289" s="444">
        <v>0</v>
      </c>
      <c r="E289" s="415" t="s">
        <v>1716</v>
      </c>
      <c r="F289" s="444">
        <v>3</v>
      </c>
      <c r="G289" s="415" t="s">
        <v>1750</v>
      </c>
      <c r="H289" s="444">
        <v>27</v>
      </c>
      <c r="I289" s="417" t="s">
        <v>1659</v>
      </c>
      <c r="J289" s="444">
        <v>2.6</v>
      </c>
      <c r="K289" s="444">
        <v>0</v>
      </c>
      <c r="L289" s="444"/>
      <c r="M289" s="444">
        <v>0</v>
      </c>
      <c r="N289" s="444">
        <v>180</v>
      </c>
      <c r="O289" s="444"/>
      <c r="P289" s="444"/>
      <c r="Q289" s="444">
        <v>0</v>
      </c>
      <c r="R289" s="444"/>
      <c r="S289" s="444">
        <v>0</v>
      </c>
      <c r="T289" s="444">
        <v>0</v>
      </c>
      <c r="U289" s="444"/>
      <c r="V289" s="444">
        <v>0</v>
      </c>
      <c r="W289" s="444">
        <v>0</v>
      </c>
      <c r="X289" s="418"/>
      <c r="Y289" s="445"/>
      <c r="Z289" s="420"/>
      <c r="AA289" s="421">
        <v>204.22</v>
      </c>
      <c r="AB289" s="421"/>
      <c r="AC289" s="454">
        <v>23</v>
      </c>
      <c r="AE289" s="419" t="s">
        <v>2180</v>
      </c>
      <c r="AF289" s="454">
        <v>1</v>
      </c>
      <c r="AG289" s="429">
        <v>43101</v>
      </c>
      <c r="AJ289" s="430">
        <v>43222</v>
      </c>
      <c r="AL289" s="424" t="s">
        <v>920</v>
      </c>
      <c r="AO289" s="445"/>
      <c r="AP289" s="454">
        <v>556667</v>
      </c>
      <c r="AQ289" s="431">
        <v>43192</v>
      </c>
      <c r="AR289" s="370">
        <v>0.3</v>
      </c>
      <c r="AT289" s="426"/>
      <c r="AU289" s="426"/>
      <c r="AV289" s="426"/>
      <c r="AY289" s="427" t="s">
        <v>1717</v>
      </c>
      <c r="AZ289" s="373"/>
      <c r="BB289" s="374" t="s">
        <v>1727</v>
      </c>
      <c r="BC289" s="445"/>
      <c r="BE289" s="448"/>
      <c r="BF289" s="449"/>
      <c r="BG289" s="428"/>
      <c r="BH289" s="445"/>
      <c r="BI289" s="491"/>
      <c r="BJ289" s="491">
        <v>3</v>
      </c>
      <c r="BK289" s="445" t="s">
        <v>3028</v>
      </c>
      <c r="BL289" s="419" t="s">
        <v>3029</v>
      </c>
      <c r="BM289" s="445"/>
      <c r="BN289" s="419"/>
      <c r="BO289" s="419"/>
      <c r="BP289" s="419"/>
      <c r="BQ289" s="419" t="s">
        <v>1783</v>
      </c>
      <c r="BR289" s="419">
        <v>2</v>
      </c>
      <c r="BS289" s="419"/>
      <c r="BT289" s="445"/>
      <c r="BU289" s="445"/>
      <c r="BV289" s="445"/>
      <c r="BW289" s="445" t="s">
        <v>2150</v>
      </c>
      <c r="BX289" s="445"/>
      <c r="BY289" s="445"/>
    </row>
    <row r="290" spans="1:77" ht="15">
      <c r="A290" s="370" t="s">
        <v>1783</v>
      </c>
      <c r="B290" s="415" t="s">
        <v>177</v>
      </c>
      <c r="C290" s="416" t="s">
        <v>2081</v>
      </c>
      <c r="D290" s="444">
        <v>0</v>
      </c>
      <c r="E290" s="415" t="s">
        <v>1716</v>
      </c>
      <c r="F290" s="444">
        <v>3</v>
      </c>
      <c r="G290" s="415" t="s">
        <v>1750</v>
      </c>
      <c r="H290" s="444">
        <v>65</v>
      </c>
      <c r="I290" s="417" t="s">
        <v>1660</v>
      </c>
      <c r="J290" s="444">
        <v>0.2</v>
      </c>
      <c r="K290" s="444">
        <v>0</v>
      </c>
      <c r="L290" s="444"/>
      <c r="M290" s="444">
        <v>0</v>
      </c>
      <c r="N290" s="444">
        <v>40</v>
      </c>
      <c r="O290" s="444"/>
      <c r="P290" s="444"/>
      <c r="Q290" s="444">
        <v>0</v>
      </c>
      <c r="R290" s="444"/>
      <c r="S290" s="444">
        <v>0</v>
      </c>
      <c r="T290" s="444">
        <v>0</v>
      </c>
      <c r="U290" s="444"/>
      <c r="V290" s="444">
        <v>0</v>
      </c>
      <c r="W290" s="444">
        <v>0</v>
      </c>
      <c r="X290" s="418"/>
      <c r="Y290" s="445"/>
      <c r="Z290" s="420"/>
      <c r="AA290" s="421">
        <v>185.63</v>
      </c>
      <c r="AB290" s="421"/>
      <c r="AC290" s="454">
        <v>23</v>
      </c>
      <c r="AE290" s="419" t="s">
        <v>2181</v>
      </c>
      <c r="AF290" s="454">
        <v>1</v>
      </c>
      <c r="AG290" s="429">
        <v>43101</v>
      </c>
      <c r="AJ290" s="430">
        <v>43222</v>
      </c>
      <c r="AL290" s="424" t="s">
        <v>1681</v>
      </c>
      <c r="AO290" s="445"/>
      <c r="AP290" s="454">
        <v>556667</v>
      </c>
      <c r="AQ290" s="431">
        <v>43192</v>
      </c>
      <c r="AR290" s="370">
        <v>0.3</v>
      </c>
      <c r="AT290" s="426"/>
      <c r="AU290" s="426"/>
      <c r="AV290" s="426"/>
      <c r="AY290" s="427" t="s">
        <v>1717</v>
      </c>
      <c r="AZ290" s="373"/>
      <c r="BB290" s="374" t="s">
        <v>1727</v>
      </c>
      <c r="BC290" s="445"/>
      <c r="BE290" s="448"/>
      <c r="BF290" s="449"/>
      <c r="BG290" s="428"/>
      <c r="BH290" s="445"/>
      <c r="BI290" s="491"/>
      <c r="BJ290" s="491">
        <v>5</v>
      </c>
      <c r="BK290" s="445" t="s">
        <v>1902</v>
      </c>
      <c r="BL290" s="419" t="s">
        <v>3030</v>
      </c>
      <c r="BM290" s="445"/>
      <c r="BN290" s="419"/>
      <c r="BO290" s="419"/>
      <c r="BP290" s="419"/>
      <c r="BQ290" s="419" t="s">
        <v>1783</v>
      </c>
      <c r="BR290" s="419">
        <v>2</v>
      </c>
      <c r="BS290" s="419"/>
      <c r="BT290" s="445"/>
      <c r="BU290" s="445"/>
      <c r="BV290" s="445"/>
      <c r="BW290" s="445" t="s">
        <v>2150</v>
      </c>
      <c r="BX290" s="445"/>
      <c r="BY290" s="445"/>
    </row>
    <row r="291" spans="1:77" ht="15">
      <c r="A291" s="370" t="s">
        <v>1783</v>
      </c>
      <c r="B291" s="415" t="s">
        <v>177</v>
      </c>
      <c r="C291" s="416" t="s">
        <v>2081</v>
      </c>
      <c r="D291" s="444">
        <v>0</v>
      </c>
      <c r="E291" s="415" t="s">
        <v>1716</v>
      </c>
      <c r="F291" s="444">
        <v>3</v>
      </c>
      <c r="G291" s="415" t="s">
        <v>1750</v>
      </c>
      <c r="H291" s="444">
        <v>52</v>
      </c>
      <c r="I291" s="417" t="s">
        <v>1660</v>
      </c>
      <c r="J291" s="444">
        <v>3.7</v>
      </c>
      <c r="K291" s="444">
        <v>0</v>
      </c>
      <c r="L291" s="444"/>
      <c r="M291" s="444">
        <v>0</v>
      </c>
      <c r="N291" s="444">
        <v>340</v>
      </c>
      <c r="O291" s="444"/>
      <c r="P291" s="444"/>
      <c r="Q291" s="444">
        <v>0</v>
      </c>
      <c r="R291" s="444"/>
      <c r="S291" s="444">
        <v>0</v>
      </c>
      <c r="T291" s="444">
        <v>0</v>
      </c>
      <c r="U291" s="444"/>
      <c r="V291" s="444">
        <v>0</v>
      </c>
      <c r="W291" s="444">
        <v>0</v>
      </c>
      <c r="X291" s="418"/>
      <c r="Y291" s="445"/>
      <c r="Z291" s="420"/>
      <c r="AA291" s="421">
        <v>204.24</v>
      </c>
      <c r="AB291" s="421"/>
      <c r="AC291" s="454">
        <v>23</v>
      </c>
      <c r="AE291" s="419" t="s">
        <v>2182</v>
      </c>
      <c r="AF291" s="454">
        <v>1</v>
      </c>
      <c r="AG291" s="429">
        <v>43101</v>
      </c>
      <c r="AJ291" s="430">
        <v>43222</v>
      </c>
      <c r="AL291" s="424" t="s">
        <v>920</v>
      </c>
      <c r="AO291" s="445"/>
      <c r="AP291" s="454">
        <v>556667</v>
      </c>
      <c r="AQ291" s="431">
        <v>43192</v>
      </c>
      <c r="AR291" s="370">
        <v>0.3</v>
      </c>
      <c r="AT291" s="426"/>
      <c r="AU291" s="426"/>
      <c r="AV291" s="426"/>
      <c r="AY291" s="427" t="s">
        <v>1717</v>
      </c>
      <c r="AZ291" s="373"/>
      <c r="BB291" s="374" t="s">
        <v>1727</v>
      </c>
      <c r="BC291" s="445"/>
      <c r="BE291" s="448"/>
      <c r="BF291" s="449"/>
      <c r="BG291" s="428"/>
      <c r="BH291" s="445"/>
      <c r="BI291" s="491"/>
      <c r="BJ291" s="491">
        <v>4</v>
      </c>
      <c r="BK291" s="445" t="s">
        <v>3031</v>
      </c>
      <c r="BL291" s="419" t="s">
        <v>3032</v>
      </c>
      <c r="BM291" s="445"/>
      <c r="BN291" s="419"/>
      <c r="BO291" s="419"/>
      <c r="BP291" s="419"/>
      <c r="BQ291" s="419" t="s">
        <v>1783</v>
      </c>
      <c r="BR291" s="419">
        <v>2</v>
      </c>
      <c r="BS291" s="419"/>
      <c r="BT291" s="445"/>
      <c r="BU291" s="445"/>
      <c r="BV291" s="445"/>
      <c r="BW291" s="445" t="s">
        <v>2150</v>
      </c>
      <c r="BX291" s="445"/>
      <c r="BY291" s="445"/>
    </row>
    <row r="292" spans="1:77" ht="15">
      <c r="A292" s="370" t="s">
        <v>1783</v>
      </c>
      <c r="B292" s="415" t="s">
        <v>177</v>
      </c>
      <c r="C292" s="416" t="s">
        <v>2081</v>
      </c>
      <c r="D292" s="444">
        <v>0</v>
      </c>
      <c r="E292" s="415" t="s">
        <v>1716</v>
      </c>
      <c r="F292" s="444">
        <v>3</v>
      </c>
      <c r="G292" s="415" t="s">
        <v>1750</v>
      </c>
      <c r="H292" s="444">
        <v>52</v>
      </c>
      <c r="I292" s="417" t="s">
        <v>1660</v>
      </c>
      <c r="J292" s="444">
        <v>3.7</v>
      </c>
      <c r="K292" s="444">
        <v>0</v>
      </c>
      <c r="L292" s="444"/>
      <c r="M292" s="444">
        <v>0</v>
      </c>
      <c r="N292" s="444">
        <v>340</v>
      </c>
      <c r="O292" s="444"/>
      <c r="P292" s="444"/>
      <c r="Q292" s="444">
        <v>0</v>
      </c>
      <c r="R292" s="444"/>
      <c r="S292" s="444">
        <v>0</v>
      </c>
      <c r="T292" s="444">
        <v>0</v>
      </c>
      <c r="U292" s="444"/>
      <c r="V292" s="444">
        <v>0</v>
      </c>
      <c r="W292" s="444">
        <v>0</v>
      </c>
      <c r="X292" s="418"/>
      <c r="Y292" s="445"/>
      <c r="Z292" s="420"/>
      <c r="AA292" s="421">
        <v>204.24</v>
      </c>
      <c r="AB292" s="421"/>
      <c r="AC292" s="454">
        <v>23</v>
      </c>
      <c r="AE292" s="419" t="s">
        <v>2182</v>
      </c>
      <c r="AF292" s="454">
        <v>1</v>
      </c>
      <c r="AG292" s="429">
        <v>43101</v>
      </c>
      <c r="AJ292" s="430">
        <v>43222</v>
      </c>
      <c r="AL292" s="424" t="s">
        <v>920</v>
      </c>
      <c r="AO292" s="445"/>
      <c r="AP292" s="454">
        <v>556667</v>
      </c>
      <c r="AQ292" s="431">
        <v>43192</v>
      </c>
      <c r="AR292" s="370">
        <v>0.3</v>
      </c>
      <c r="AT292" s="426"/>
      <c r="AU292" s="426"/>
      <c r="AV292" s="426"/>
      <c r="AY292" s="427" t="s">
        <v>1717</v>
      </c>
      <c r="AZ292" s="373"/>
      <c r="BB292" s="374" t="s">
        <v>1727</v>
      </c>
      <c r="BC292" s="445"/>
      <c r="BE292" s="448"/>
      <c r="BF292" s="449"/>
      <c r="BG292" s="428"/>
      <c r="BH292" s="445"/>
      <c r="BI292" s="491"/>
      <c r="BJ292" s="491">
        <v>4</v>
      </c>
      <c r="BK292" s="445" t="s">
        <v>3031</v>
      </c>
      <c r="BL292" s="419" t="s">
        <v>3032</v>
      </c>
      <c r="BM292" s="445"/>
      <c r="BN292" s="419"/>
      <c r="BO292" s="419"/>
      <c r="BP292" s="419"/>
      <c r="BQ292" s="419" t="s">
        <v>1783</v>
      </c>
      <c r="BR292" s="419">
        <v>2</v>
      </c>
      <c r="BS292" s="419"/>
      <c r="BT292" s="445"/>
      <c r="BU292" s="445"/>
      <c r="BV292" s="445"/>
      <c r="BW292" s="445" t="s">
        <v>2183</v>
      </c>
      <c r="BX292" s="445"/>
      <c r="BY292" s="445"/>
    </row>
    <row r="293" spans="1:77" ht="15">
      <c r="A293" s="370" t="s">
        <v>1783</v>
      </c>
      <c r="B293" s="415" t="s">
        <v>177</v>
      </c>
      <c r="C293" s="416" t="s">
        <v>2081</v>
      </c>
      <c r="D293" s="444">
        <v>0</v>
      </c>
      <c r="E293" s="415" t="s">
        <v>1716</v>
      </c>
      <c r="F293" s="444">
        <v>3</v>
      </c>
      <c r="G293" s="415" t="s">
        <v>1750</v>
      </c>
      <c r="H293" s="444">
        <v>52</v>
      </c>
      <c r="I293" s="417" t="s">
        <v>1660</v>
      </c>
      <c r="J293" s="444">
        <v>3.7</v>
      </c>
      <c r="K293" s="444">
        <v>0</v>
      </c>
      <c r="L293" s="444"/>
      <c r="M293" s="444">
        <v>0</v>
      </c>
      <c r="N293" s="444">
        <v>340</v>
      </c>
      <c r="O293" s="444"/>
      <c r="P293" s="444"/>
      <c r="Q293" s="444">
        <v>0</v>
      </c>
      <c r="R293" s="444"/>
      <c r="S293" s="444">
        <v>0</v>
      </c>
      <c r="T293" s="444">
        <v>0</v>
      </c>
      <c r="U293" s="444"/>
      <c r="V293" s="444">
        <v>0</v>
      </c>
      <c r="W293" s="444">
        <v>0</v>
      </c>
      <c r="X293" s="418"/>
      <c r="Y293" s="445"/>
      <c r="Z293" s="420"/>
      <c r="AA293" s="421">
        <v>204.24</v>
      </c>
      <c r="AB293" s="421"/>
      <c r="AC293" s="454">
        <v>23</v>
      </c>
      <c r="AE293" s="419" t="s">
        <v>2182</v>
      </c>
      <c r="AF293" s="454">
        <v>1</v>
      </c>
      <c r="AG293" s="429">
        <v>43101</v>
      </c>
      <c r="AJ293" s="430">
        <v>43222</v>
      </c>
      <c r="AL293" s="424" t="s">
        <v>920</v>
      </c>
      <c r="AO293" s="445"/>
      <c r="AP293" s="454">
        <v>556667</v>
      </c>
      <c r="AQ293" s="431">
        <v>43192</v>
      </c>
      <c r="AR293" s="370">
        <v>0.3</v>
      </c>
      <c r="AT293" s="426"/>
      <c r="AU293" s="426"/>
      <c r="AV293" s="426"/>
      <c r="AY293" s="427" t="s">
        <v>1717</v>
      </c>
      <c r="AZ293" s="373"/>
      <c r="BB293" s="374" t="s">
        <v>1727</v>
      </c>
      <c r="BC293" s="445"/>
      <c r="BE293" s="448"/>
      <c r="BF293" s="449"/>
      <c r="BG293" s="428"/>
      <c r="BH293" s="445"/>
      <c r="BI293" s="491"/>
      <c r="BJ293" s="491">
        <v>4</v>
      </c>
      <c r="BK293" s="445" t="s">
        <v>3031</v>
      </c>
      <c r="BL293" s="419" t="s">
        <v>3032</v>
      </c>
      <c r="BM293" s="445"/>
      <c r="BN293" s="419"/>
      <c r="BO293" s="419"/>
      <c r="BP293" s="419"/>
      <c r="BQ293" s="419" t="s">
        <v>1783</v>
      </c>
      <c r="BR293" s="419">
        <v>2</v>
      </c>
      <c r="BS293" s="419"/>
      <c r="BT293" s="445"/>
      <c r="BU293" s="445"/>
      <c r="BV293" s="445"/>
      <c r="BW293" s="445" t="s">
        <v>2183</v>
      </c>
      <c r="BX293" s="445"/>
      <c r="BY293" s="445"/>
    </row>
    <row r="294" spans="1:77" ht="15">
      <c r="A294" s="370" t="s">
        <v>31</v>
      </c>
      <c r="B294" s="415" t="s">
        <v>19</v>
      </c>
      <c r="C294" s="416" t="s">
        <v>31</v>
      </c>
      <c r="D294" s="444">
        <v>0</v>
      </c>
      <c r="E294" s="415" t="s">
        <v>1716</v>
      </c>
      <c r="F294" s="444">
        <v>2</v>
      </c>
      <c r="G294" s="415" t="s">
        <v>1661</v>
      </c>
      <c r="H294" s="444">
        <v>39</v>
      </c>
      <c r="I294" s="417" t="s">
        <v>1687</v>
      </c>
      <c r="J294" s="444">
        <v>2.4</v>
      </c>
      <c r="K294" s="444">
        <v>1200</v>
      </c>
      <c r="L294" s="444">
        <v>0</v>
      </c>
      <c r="M294" s="444">
        <v>10</v>
      </c>
      <c r="N294" s="444">
        <v>99</v>
      </c>
      <c r="O294" s="444">
        <v>0</v>
      </c>
      <c r="P294" s="444">
        <v>0</v>
      </c>
      <c r="Q294" s="444">
        <v>10</v>
      </c>
      <c r="R294" s="444">
        <v>42</v>
      </c>
      <c r="S294" s="444">
        <v>76</v>
      </c>
      <c r="T294" s="444">
        <v>203</v>
      </c>
      <c r="U294" s="444">
        <v>14</v>
      </c>
      <c r="V294" s="444">
        <v>62</v>
      </c>
      <c r="W294" s="444">
        <v>139</v>
      </c>
      <c r="X294" s="418"/>
      <c r="Y294" s="445"/>
      <c r="Z294" s="420"/>
      <c r="AA294" s="421">
        <v>89.417000000000002</v>
      </c>
      <c r="AB294" s="421">
        <v>39.662999999999997</v>
      </c>
      <c r="AC294" s="454">
        <v>51</v>
      </c>
      <c r="AE294" s="419" t="s">
        <v>2184</v>
      </c>
      <c r="AF294" s="454">
        <v>1</v>
      </c>
      <c r="AG294" s="429">
        <v>43101</v>
      </c>
      <c r="AJ294" s="430">
        <v>43230</v>
      </c>
      <c r="AL294" s="424" t="s">
        <v>927</v>
      </c>
      <c r="AO294" s="445"/>
      <c r="AP294" s="454">
        <v>556620</v>
      </c>
      <c r="AQ294" s="431">
        <v>43077</v>
      </c>
      <c r="AT294" s="426"/>
      <c r="AU294" s="426"/>
      <c r="AV294" s="426"/>
      <c r="AY294" s="427" t="s">
        <v>1720</v>
      </c>
      <c r="AZ294" s="373"/>
      <c r="BB294" s="374" t="s">
        <v>1726</v>
      </c>
      <c r="BC294" s="445"/>
      <c r="BE294" s="448">
        <v>5</v>
      </c>
      <c r="BF294" s="449">
        <v>40</v>
      </c>
      <c r="BG294" s="428" t="s">
        <v>1764</v>
      </c>
      <c r="BH294" s="445"/>
      <c r="BI294" s="491"/>
      <c r="BJ294" s="491">
        <v>3</v>
      </c>
      <c r="BK294" s="445" t="s">
        <v>3033</v>
      </c>
      <c r="BL294" s="419" t="s">
        <v>3034</v>
      </c>
      <c r="BM294" s="445"/>
      <c r="BN294" s="419" t="s">
        <v>1765</v>
      </c>
      <c r="BO294" s="419" t="s">
        <v>1765</v>
      </c>
      <c r="BP294" s="419" t="s">
        <v>1765</v>
      </c>
      <c r="BQ294" s="419" t="s">
        <v>31</v>
      </c>
      <c r="BR294" s="419"/>
      <c r="BS294" s="419"/>
      <c r="BT294" s="445"/>
      <c r="BU294" s="445"/>
      <c r="BV294" s="445"/>
      <c r="BW294" s="445" t="s">
        <v>2183</v>
      </c>
      <c r="BX294" s="445"/>
      <c r="BY294" s="445"/>
    </row>
    <row r="295" spans="1:77" ht="15">
      <c r="A295" s="370" t="s">
        <v>1269</v>
      </c>
      <c r="B295" s="415" t="s">
        <v>296</v>
      </c>
      <c r="C295" s="416" t="s">
        <v>2185</v>
      </c>
      <c r="D295" s="444">
        <v>0</v>
      </c>
      <c r="E295" s="415" t="s">
        <v>1716</v>
      </c>
      <c r="F295" s="444">
        <v>3</v>
      </c>
      <c r="G295" s="415" t="s">
        <v>1661</v>
      </c>
      <c r="H295" s="444">
        <v>11</v>
      </c>
      <c r="I295" s="417" t="s">
        <v>1660</v>
      </c>
      <c r="J295" s="444">
        <v>7.6</v>
      </c>
      <c r="K295" s="444">
        <v>597</v>
      </c>
      <c r="L295" s="444">
        <v>0</v>
      </c>
      <c r="M295" s="444">
        <v>0</v>
      </c>
      <c r="N295" s="444">
        <v>49</v>
      </c>
      <c r="O295" s="444">
        <v>0</v>
      </c>
      <c r="P295" s="444">
        <v>0</v>
      </c>
      <c r="Q295" s="444">
        <v>0</v>
      </c>
      <c r="R295" s="444">
        <v>0</v>
      </c>
      <c r="S295" s="444">
        <v>0</v>
      </c>
      <c r="T295" s="444">
        <v>0</v>
      </c>
      <c r="U295" s="444">
        <v>7</v>
      </c>
      <c r="V295" s="444">
        <v>4</v>
      </c>
      <c r="W295" s="444">
        <v>220</v>
      </c>
      <c r="X295" s="418"/>
      <c r="Y295" s="445"/>
      <c r="Z295" s="420"/>
      <c r="AA295" s="421">
        <v>74.394999999999996</v>
      </c>
      <c r="AB295" s="421">
        <v>29.978000000000002</v>
      </c>
      <c r="AC295" s="454">
        <v>23</v>
      </c>
      <c r="AE295" s="419" t="s">
        <v>2186</v>
      </c>
      <c r="AF295" s="454">
        <v>1</v>
      </c>
      <c r="AG295" s="429">
        <v>43101</v>
      </c>
      <c r="AJ295" s="430">
        <v>43234</v>
      </c>
      <c r="AL295" s="424" t="s">
        <v>1024</v>
      </c>
      <c r="AO295" s="445"/>
      <c r="AP295" s="454">
        <v>556704</v>
      </c>
      <c r="AQ295" s="431">
        <v>43234</v>
      </c>
      <c r="AT295" s="426"/>
      <c r="AU295" s="426"/>
      <c r="AV295" s="426"/>
      <c r="AY295" s="427" t="s">
        <v>1722</v>
      </c>
      <c r="AZ295" s="373"/>
      <c r="BB295" s="374" t="s">
        <v>1728</v>
      </c>
      <c r="BC295" s="445"/>
      <c r="BE295" s="448">
        <v>0</v>
      </c>
      <c r="BF295" s="449">
        <v>0</v>
      </c>
      <c r="BG295" s="428" t="s">
        <v>1764</v>
      </c>
      <c r="BH295" s="445"/>
      <c r="BI295" s="491"/>
      <c r="BJ295" s="491">
        <v>3</v>
      </c>
      <c r="BK295" s="445" t="s">
        <v>3035</v>
      </c>
      <c r="BL295" s="419" t="s">
        <v>3036</v>
      </c>
      <c r="BM295" s="445"/>
      <c r="BN295" s="419" t="s">
        <v>1765</v>
      </c>
      <c r="BO295" s="419" t="s">
        <v>1765</v>
      </c>
      <c r="BP295" s="419" t="s">
        <v>1765</v>
      </c>
      <c r="BQ295" s="419" t="s">
        <v>1269</v>
      </c>
      <c r="BR295" s="419"/>
      <c r="BS295" s="419"/>
      <c r="BT295" s="445"/>
      <c r="BU295" s="445"/>
      <c r="BV295" s="445"/>
      <c r="BW295" s="445" t="s">
        <v>2183</v>
      </c>
      <c r="BX295" s="445"/>
      <c r="BY295" s="445"/>
    </row>
    <row r="296" spans="1:77" ht="15">
      <c r="A296" s="370" t="s">
        <v>1269</v>
      </c>
      <c r="B296" s="415" t="s">
        <v>296</v>
      </c>
      <c r="C296" s="416" t="s">
        <v>1693</v>
      </c>
      <c r="D296" s="444">
        <v>0</v>
      </c>
      <c r="E296" s="415" t="s">
        <v>1716</v>
      </c>
      <c r="F296" s="444">
        <v>3</v>
      </c>
      <c r="G296" s="415" t="s">
        <v>1661</v>
      </c>
      <c r="H296" s="444">
        <v>82</v>
      </c>
      <c r="I296" s="417" t="s">
        <v>1660</v>
      </c>
      <c r="J296" s="444">
        <v>4.2</v>
      </c>
      <c r="K296" s="444">
        <v>311</v>
      </c>
      <c r="L296" s="444">
        <v>0</v>
      </c>
      <c r="M296" s="444">
        <v>0</v>
      </c>
      <c r="N296" s="444">
        <v>1</v>
      </c>
      <c r="O296" s="444">
        <v>0</v>
      </c>
      <c r="P296" s="444">
        <v>0</v>
      </c>
      <c r="Q296" s="444">
        <v>0</v>
      </c>
      <c r="R296" s="444">
        <v>0</v>
      </c>
      <c r="S296" s="444">
        <v>0</v>
      </c>
      <c r="T296" s="444">
        <v>35</v>
      </c>
      <c r="U296" s="444">
        <v>0</v>
      </c>
      <c r="V296" s="444">
        <v>0</v>
      </c>
      <c r="W296" s="444">
        <v>0</v>
      </c>
      <c r="X296" s="418"/>
      <c r="Y296" s="445"/>
      <c r="Z296" s="420"/>
      <c r="AA296" s="421">
        <v>168.19</v>
      </c>
      <c r="AB296" s="421">
        <v>29.978000000000002</v>
      </c>
      <c r="AC296" s="454">
        <v>1</v>
      </c>
      <c r="AE296" s="419" t="s">
        <v>2187</v>
      </c>
      <c r="AF296" s="454">
        <v>1</v>
      </c>
      <c r="AG296" s="429">
        <v>43101</v>
      </c>
      <c r="AJ296" s="430">
        <v>43222</v>
      </c>
      <c r="AL296" s="424" t="s">
        <v>918</v>
      </c>
      <c r="AO296" s="445"/>
      <c r="AP296" s="454">
        <v>556628</v>
      </c>
      <c r="AQ296" s="431">
        <v>43102</v>
      </c>
      <c r="AT296" s="426"/>
      <c r="AU296" s="426"/>
      <c r="AV296" s="426"/>
      <c r="AY296" s="427" t="s">
        <v>1722</v>
      </c>
      <c r="AZ296" s="373"/>
      <c r="BB296" s="374" t="s">
        <v>1728</v>
      </c>
      <c r="BC296" s="445"/>
      <c r="BE296" s="448">
        <v>0</v>
      </c>
      <c r="BF296" s="449">
        <v>0</v>
      </c>
      <c r="BG296" s="428" t="s">
        <v>1764</v>
      </c>
      <c r="BH296" s="445"/>
      <c r="BI296" s="491"/>
      <c r="BJ296" s="491">
        <v>12</v>
      </c>
      <c r="BK296" s="445" t="s">
        <v>3037</v>
      </c>
      <c r="BL296" s="419" t="s">
        <v>3038</v>
      </c>
      <c r="BM296" s="445"/>
      <c r="BN296" s="419" t="s">
        <v>1765</v>
      </c>
      <c r="BO296" s="419" t="s">
        <v>1765</v>
      </c>
      <c r="BP296" s="419" t="s">
        <v>1765</v>
      </c>
      <c r="BQ296" s="419" t="s">
        <v>1269</v>
      </c>
      <c r="BR296" s="419"/>
      <c r="BS296" s="419"/>
      <c r="BT296" s="445"/>
      <c r="BU296" s="445"/>
      <c r="BV296" s="445"/>
      <c r="BW296" s="445" t="s">
        <v>2183</v>
      </c>
      <c r="BX296" s="445"/>
      <c r="BY296" s="445"/>
    </row>
    <row r="297" spans="1:77" ht="15">
      <c r="A297" s="370" t="s">
        <v>1269</v>
      </c>
      <c r="B297" s="415" t="s">
        <v>296</v>
      </c>
      <c r="C297" s="416" t="s">
        <v>1693</v>
      </c>
      <c r="D297" s="444">
        <v>0</v>
      </c>
      <c r="E297" s="415" t="s">
        <v>1716</v>
      </c>
      <c r="F297" s="444">
        <v>3</v>
      </c>
      <c r="G297" s="415" t="s">
        <v>1661</v>
      </c>
      <c r="H297" s="444">
        <v>82</v>
      </c>
      <c r="I297" s="417" t="s">
        <v>1664</v>
      </c>
      <c r="J297" s="444">
        <v>3.1</v>
      </c>
      <c r="K297" s="444">
        <v>358</v>
      </c>
      <c r="L297" s="444">
        <v>0</v>
      </c>
      <c r="M297" s="444">
        <v>0</v>
      </c>
      <c r="N297" s="444">
        <v>1</v>
      </c>
      <c r="O297" s="444">
        <v>0</v>
      </c>
      <c r="P297" s="444">
        <v>0</v>
      </c>
      <c r="Q297" s="444">
        <v>0</v>
      </c>
      <c r="R297" s="444">
        <v>0</v>
      </c>
      <c r="S297" s="444">
        <v>0</v>
      </c>
      <c r="T297" s="444">
        <v>48</v>
      </c>
      <c r="U297" s="444">
        <v>0</v>
      </c>
      <c r="V297" s="444">
        <v>0</v>
      </c>
      <c r="W297" s="444">
        <v>0</v>
      </c>
      <c r="X297" s="418"/>
      <c r="Y297" s="445"/>
      <c r="Z297" s="420"/>
      <c r="AA297" s="421">
        <v>134.03700000000001</v>
      </c>
      <c r="AB297" s="421">
        <v>29.978000000000002</v>
      </c>
      <c r="AC297" s="454">
        <v>1</v>
      </c>
      <c r="AE297" s="419" t="s">
        <v>2188</v>
      </c>
      <c r="AF297" s="454">
        <v>1</v>
      </c>
      <c r="AG297" s="429">
        <v>43101</v>
      </c>
      <c r="AJ297" s="430">
        <v>43222</v>
      </c>
      <c r="AL297" s="424" t="s">
        <v>918</v>
      </c>
      <c r="AO297" s="445"/>
      <c r="AP297" s="454">
        <v>556628</v>
      </c>
      <c r="AQ297" s="431">
        <v>43102</v>
      </c>
      <c r="AT297" s="426"/>
      <c r="AU297" s="426"/>
      <c r="AV297" s="426"/>
      <c r="AY297" s="427" t="s">
        <v>1722</v>
      </c>
      <c r="AZ297" s="373"/>
      <c r="BB297" s="374" t="s">
        <v>1728</v>
      </c>
      <c r="BC297" s="445"/>
      <c r="BE297" s="448">
        <v>0</v>
      </c>
      <c r="BF297" s="449">
        <v>0</v>
      </c>
      <c r="BG297" s="428" t="s">
        <v>1764</v>
      </c>
      <c r="BH297" s="445"/>
      <c r="BI297" s="491"/>
      <c r="BJ297" s="491">
        <v>13</v>
      </c>
      <c r="BK297" s="445" t="s">
        <v>3039</v>
      </c>
      <c r="BL297" s="419" t="s">
        <v>3040</v>
      </c>
      <c r="BM297" s="445"/>
      <c r="BN297" s="419" t="s">
        <v>1765</v>
      </c>
      <c r="BO297" s="419" t="s">
        <v>1765</v>
      </c>
      <c r="BP297" s="419" t="s">
        <v>1765</v>
      </c>
      <c r="BQ297" s="419" t="s">
        <v>1269</v>
      </c>
      <c r="BR297" s="419"/>
      <c r="BS297" s="419"/>
      <c r="BT297" s="445"/>
      <c r="BU297" s="445"/>
      <c r="BV297" s="445"/>
      <c r="BW297" s="445" t="s">
        <v>2183</v>
      </c>
      <c r="BX297" s="445"/>
      <c r="BY297" s="445"/>
    </row>
    <row r="298" spans="1:77" ht="15">
      <c r="A298" s="370" t="s">
        <v>1269</v>
      </c>
      <c r="B298" s="415" t="s">
        <v>296</v>
      </c>
      <c r="C298" s="416" t="s">
        <v>1693</v>
      </c>
      <c r="D298" s="444">
        <v>0</v>
      </c>
      <c r="E298" s="415" t="s">
        <v>1716</v>
      </c>
      <c r="F298" s="444">
        <v>3</v>
      </c>
      <c r="G298" s="415" t="s">
        <v>1661</v>
      </c>
      <c r="H298" s="444">
        <v>82</v>
      </c>
      <c r="I298" s="417" t="s">
        <v>1664</v>
      </c>
      <c r="J298" s="444">
        <v>3.1</v>
      </c>
      <c r="K298" s="444">
        <v>358</v>
      </c>
      <c r="L298" s="444">
        <v>0</v>
      </c>
      <c r="M298" s="444">
        <v>0</v>
      </c>
      <c r="N298" s="444">
        <v>1</v>
      </c>
      <c r="O298" s="444">
        <v>0</v>
      </c>
      <c r="P298" s="444">
        <v>0</v>
      </c>
      <c r="Q298" s="444">
        <v>0</v>
      </c>
      <c r="R298" s="444">
        <v>0</v>
      </c>
      <c r="S298" s="444">
        <v>0</v>
      </c>
      <c r="T298" s="444">
        <v>48</v>
      </c>
      <c r="U298" s="444">
        <v>0</v>
      </c>
      <c r="V298" s="444">
        <v>0</v>
      </c>
      <c r="W298" s="444">
        <v>0</v>
      </c>
      <c r="X298" s="418"/>
      <c r="Y298" s="445"/>
      <c r="Z298" s="420"/>
      <c r="AA298" s="421">
        <v>134.03700000000001</v>
      </c>
      <c r="AB298" s="421">
        <v>29.978000000000002</v>
      </c>
      <c r="AC298" s="454">
        <v>1</v>
      </c>
      <c r="AE298" s="419" t="s">
        <v>2188</v>
      </c>
      <c r="AF298" s="454">
        <v>1</v>
      </c>
      <c r="AG298" s="429">
        <v>43101</v>
      </c>
      <c r="AJ298" s="430">
        <v>43222</v>
      </c>
      <c r="AL298" s="424" t="s">
        <v>918</v>
      </c>
      <c r="AO298" s="445"/>
      <c r="AP298" s="454">
        <v>556628</v>
      </c>
      <c r="AQ298" s="431">
        <v>43102</v>
      </c>
      <c r="AT298" s="426"/>
      <c r="AU298" s="426"/>
      <c r="AV298" s="426"/>
      <c r="AY298" s="427" t="s">
        <v>1722</v>
      </c>
      <c r="AZ298" s="373"/>
      <c r="BB298" s="374" t="s">
        <v>1728</v>
      </c>
      <c r="BC298" s="445"/>
      <c r="BE298" s="448">
        <v>0</v>
      </c>
      <c r="BF298" s="449">
        <v>0</v>
      </c>
      <c r="BG298" s="428" t="s">
        <v>1764</v>
      </c>
      <c r="BH298" s="445"/>
      <c r="BI298" s="491"/>
      <c r="BJ298" s="491">
        <v>13</v>
      </c>
      <c r="BK298" s="445" t="s">
        <v>3039</v>
      </c>
      <c r="BL298" s="419" t="s">
        <v>3040</v>
      </c>
      <c r="BM298" s="445"/>
      <c r="BN298" s="419" t="s">
        <v>1765</v>
      </c>
      <c r="BO298" s="419" t="s">
        <v>1765</v>
      </c>
      <c r="BP298" s="419" t="s">
        <v>1765</v>
      </c>
      <c r="BQ298" s="419" t="s">
        <v>1269</v>
      </c>
      <c r="BR298" s="419"/>
      <c r="BS298" s="419"/>
      <c r="BT298" s="445"/>
      <c r="BU298" s="445"/>
      <c r="BV298" s="445"/>
      <c r="BW298" s="445" t="s">
        <v>2183</v>
      </c>
      <c r="BX298" s="445"/>
      <c r="BY298" s="445"/>
    </row>
    <row r="299" spans="1:77" ht="15">
      <c r="A299" s="370" t="s">
        <v>1783</v>
      </c>
      <c r="B299" s="415" t="s">
        <v>296</v>
      </c>
      <c r="C299" s="416" t="s">
        <v>2093</v>
      </c>
      <c r="D299" s="444">
        <v>0</v>
      </c>
      <c r="E299" s="415" t="s">
        <v>1716</v>
      </c>
      <c r="F299" s="444">
        <v>3</v>
      </c>
      <c r="G299" s="415" t="s">
        <v>1750</v>
      </c>
      <c r="H299" s="444">
        <v>37</v>
      </c>
      <c r="I299" s="417" t="s">
        <v>1768</v>
      </c>
      <c r="J299" s="444">
        <v>1.1000000000000001</v>
      </c>
      <c r="K299" s="444">
        <v>0</v>
      </c>
      <c r="L299" s="444"/>
      <c r="M299" s="444">
        <v>0</v>
      </c>
      <c r="N299" s="444">
        <v>40</v>
      </c>
      <c r="O299" s="444"/>
      <c r="P299" s="444"/>
      <c r="Q299" s="444">
        <v>0</v>
      </c>
      <c r="R299" s="444"/>
      <c r="S299" s="444">
        <v>0</v>
      </c>
      <c r="T299" s="444">
        <v>0</v>
      </c>
      <c r="U299" s="444"/>
      <c r="V299" s="444">
        <v>0</v>
      </c>
      <c r="W299" s="444">
        <v>0</v>
      </c>
      <c r="X299" s="418"/>
      <c r="Y299" s="445"/>
      <c r="Z299" s="420"/>
      <c r="AA299" s="421">
        <v>261.75</v>
      </c>
      <c r="AB299" s="421"/>
      <c r="AC299" s="454">
        <v>23</v>
      </c>
      <c r="AE299" s="419" t="s">
        <v>2189</v>
      </c>
      <c r="AF299" s="454">
        <v>1</v>
      </c>
      <c r="AG299" s="429">
        <v>43101</v>
      </c>
      <c r="AJ299" s="430">
        <v>43234</v>
      </c>
      <c r="AL299" s="424" t="s">
        <v>1026</v>
      </c>
      <c r="AO299" s="445"/>
      <c r="AP299" s="454">
        <v>556705</v>
      </c>
      <c r="AQ299" s="431">
        <v>43243</v>
      </c>
      <c r="AR299" s="370">
        <v>0.3</v>
      </c>
      <c r="AT299" s="426"/>
      <c r="AU299" s="426"/>
      <c r="AV299" s="426"/>
      <c r="AY299" s="427" t="s">
        <v>1722</v>
      </c>
      <c r="AZ299" s="373"/>
      <c r="BB299" s="374" t="s">
        <v>1728</v>
      </c>
      <c r="BC299" s="445"/>
      <c r="BE299" s="448"/>
      <c r="BF299" s="449"/>
      <c r="BG299" s="428"/>
      <c r="BH299" s="445"/>
      <c r="BI299" s="491"/>
      <c r="BJ299" s="491">
        <v>4</v>
      </c>
      <c r="BK299" s="445" t="s">
        <v>3041</v>
      </c>
      <c r="BL299" s="419" t="s">
        <v>3042</v>
      </c>
      <c r="BM299" s="445"/>
      <c r="BN299" s="419"/>
      <c r="BO299" s="419"/>
      <c r="BP299" s="419"/>
      <c r="BQ299" s="419" t="s">
        <v>1783</v>
      </c>
      <c r="BR299" s="419">
        <v>2</v>
      </c>
      <c r="BS299" s="419"/>
      <c r="BT299" s="445"/>
      <c r="BU299" s="445"/>
      <c r="BV299" s="445"/>
      <c r="BW299" s="445" t="s">
        <v>2183</v>
      </c>
      <c r="BX299" s="445"/>
      <c r="BY299" s="445"/>
    </row>
    <row r="300" spans="1:77" ht="15">
      <c r="A300" s="370" t="s">
        <v>1783</v>
      </c>
      <c r="B300" s="415" t="s">
        <v>296</v>
      </c>
      <c r="C300" s="416" t="s">
        <v>2093</v>
      </c>
      <c r="D300" s="444">
        <v>0</v>
      </c>
      <c r="E300" s="415" t="s">
        <v>1716</v>
      </c>
      <c r="F300" s="444">
        <v>3</v>
      </c>
      <c r="G300" s="415" t="s">
        <v>1750</v>
      </c>
      <c r="H300" s="444">
        <v>63</v>
      </c>
      <c r="I300" s="417" t="s">
        <v>1660</v>
      </c>
      <c r="J300" s="444">
        <v>3.9</v>
      </c>
      <c r="K300" s="444">
        <v>0</v>
      </c>
      <c r="L300" s="444"/>
      <c r="M300" s="444">
        <v>0</v>
      </c>
      <c r="N300" s="444">
        <v>120</v>
      </c>
      <c r="O300" s="444"/>
      <c r="P300" s="444"/>
      <c r="Q300" s="444">
        <v>0</v>
      </c>
      <c r="R300" s="444"/>
      <c r="S300" s="444">
        <v>0</v>
      </c>
      <c r="T300" s="444">
        <v>0</v>
      </c>
      <c r="U300" s="444"/>
      <c r="V300" s="444">
        <v>0</v>
      </c>
      <c r="W300" s="444">
        <v>0</v>
      </c>
      <c r="X300" s="418"/>
      <c r="Y300" s="445"/>
      <c r="Z300" s="420"/>
      <c r="AA300" s="421">
        <v>261.72000000000003</v>
      </c>
      <c r="AB300" s="421"/>
      <c r="AC300" s="454">
        <v>23</v>
      </c>
      <c r="AE300" s="419" t="s">
        <v>2190</v>
      </c>
      <c r="AF300" s="454">
        <v>1</v>
      </c>
      <c r="AG300" s="429">
        <v>43101</v>
      </c>
      <c r="AJ300" s="430">
        <v>43234</v>
      </c>
      <c r="AL300" s="424" t="s">
        <v>918</v>
      </c>
      <c r="AO300" s="445"/>
      <c r="AP300" s="454">
        <v>556705</v>
      </c>
      <c r="AQ300" s="431">
        <v>43234</v>
      </c>
      <c r="AR300" s="370">
        <v>0.3</v>
      </c>
      <c r="AT300" s="426"/>
      <c r="AU300" s="426"/>
      <c r="AV300" s="426"/>
      <c r="AY300" s="427" t="s">
        <v>1722</v>
      </c>
      <c r="AZ300" s="373"/>
      <c r="BB300" s="374" t="s">
        <v>1728</v>
      </c>
      <c r="BC300" s="445"/>
      <c r="BE300" s="448"/>
      <c r="BF300" s="449"/>
      <c r="BG300" s="428"/>
      <c r="BH300" s="445"/>
      <c r="BI300" s="491"/>
      <c r="BJ300" s="491">
        <v>5</v>
      </c>
      <c r="BK300" s="445" t="s">
        <v>2852</v>
      </c>
      <c r="BL300" s="419" t="s">
        <v>3043</v>
      </c>
      <c r="BM300" s="445"/>
      <c r="BN300" s="419"/>
      <c r="BO300" s="419"/>
      <c r="BP300" s="419"/>
      <c r="BQ300" s="419" t="s">
        <v>1783</v>
      </c>
      <c r="BR300" s="419">
        <v>2</v>
      </c>
      <c r="BS300" s="419"/>
      <c r="BT300" s="445"/>
      <c r="BU300" s="445"/>
      <c r="BV300" s="445"/>
      <c r="BW300" s="445" t="s">
        <v>2183</v>
      </c>
      <c r="BX300" s="445"/>
      <c r="BY300" s="445"/>
    </row>
    <row r="301" spans="1:77" ht="15">
      <c r="A301" s="370" t="s">
        <v>1783</v>
      </c>
      <c r="B301" s="415" t="s">
        <v>296</v>
      </c>
      <c r="C301" s="416" t="s">
        <v>2093</v>
      </c>
      <c r="D301" s="444">
        <v>0</v>
      </c>
      <c r="E301" s="415" t="s">
        <v>1716</v>
      </c>
      <c r="F301" s="444">
        <v>3</v>
      </c>
      <c r="G301" s="415" t="s">
        <v>1750</v>
      </c>
      <c r="H301" s="444">
        <v>94</v>
      </c>
      <c r="I301" s="417" t="s">
        <v>1664</v>
      </c>
      <c r="J301" s="444">
        <v>0.8</v>
      </c>
      <c r="K301" s="444">
        <v>0</v>
      </c>
      <c r="L301" s="444"/>
      <c r="M301" s="444">
        <v>0</v>
      </c>
      <c r="N301" s="444">
        <v>20</v>
      </c>
      <c r="O301" s="444"/>
      <c r="P301" s="444"/>
      <c r="Q301" s="444">
        <v>0</v>
      </c>
      <c r="R301" s="444"/>
      <c r="S301" s="444">
        <v>0</v>
      </c>
      <c r="T301" s="444">
        <v>0</v>
      </c>
      <c r="U301" s="444"/>
      <c r="V301" s="444">
        <v>0</v>
      </c>
      <c r="W301" s="444">
        <v>0</v>
      </c>
      <c r="X301" s="418"/>
      <c r="Y301" s="445"/>
      <c r="Z301" s="420"/>
      <c r="AA301" s="421">
        <v>261.88</v>
      </c>
      <c r="AB301" s="421"/>
      <c r="AC301" s="454">
        <v>23</v>
      </c>
      <c r="AE301" s="419" t="s">
        <v>2191</v>
      </c>
      <c r="AF301" s="454">
        <v>1</v>
      </c>
      <c r="AG301" s="429">
        <v>43101</v>
      </c>
      <c r="AJ301" s="430">
        <v>43234</v>
      </c>
      <c r="AL301" s="424" t="s">
        <v>1027</v>
      </c>
      <c r="AO301" s="445"/>
      <c r="AP301" s="454">
        <v>556705</v>
      </c>
      <c r="AQ301" s="431">
        <v>43234</v>
      </c>
      <c r="AR301" s="370">
        <v>0.3</v>
      </c>
      <c r="AT301" s="426"/>
      <c r="AU301" s="426"/>
      <c r="AV301" s="426"/>
      <c r="AY301" s="427" t="s">
        <v>1722</v>
      </c>
      <c r="AZ301" s="373"/>
      <c r="BB301" s="374" t="s">
        <v>1728</v>
      </c>
      <c r="BC301" s="445"/>
      <c r="BE301" s="448"/>
      <c r="BF301" s="449"/>
      <c r="BG301" s="428"/>
      <c r="BH301" s="445"/>
      <c r="BI301" s="491"/>
      <c r="BJ301" s="491">
        <v>7</v>
      </c>
      <c r="BK301" s="445" t="s">
        <v>372</v>
      </c>
      <c r="BL301" s="419" t="s">
        <v>3044</v>
      </c>
      <c r="BM301" s="445"/>
      <c r="BN301" s="419"/>
      <c r="BO301" s="419"/>
      <c r="BP301" s="419"/>
      <c r="BQ301" s="419" t="s">
        <v>1783</v>
      </c>
      <c r="BR301" s="419">
        <v>2</v>
      </c>
      <c r="BS301" s="419"/>
      <c r="BT301" s="445"/>
      <c r="BU301" s="445"/>
      <c r="BV301" s="445"/>
      <c r="BW301" s="445" t="s">
        <v>2183</v>
      </c>
      <c r="BX301" s="445"/>
      <c r="BY301" s="445"/>
    </row>
    <row r="302" spans="1:77" ht="15">
      <c r="A302" s="370" t="s">
        <v>1783</v>
      </c>
      <c r="B302" s="415" t="s">
        <v>296</v>
      </c>
      <c r="C302" s="416" t="s">
        <v>2093</v>
      </c>
      <c r="D302" s="444">
        <v>0</v>
      </c>
      <c r="E302" s="415" t="s">
        <v>1716</v>
      </c>
      <c r="F302" s="444">
        <v>3</v>
      </c>
      <c r="G302" s="415" t="s">
        <v>1750</v>
      </c>
      <c r="H302" s="444">
        <v>77</v>
      </c>
      <c r="I302" s="417" t="s">
        <v>1664</v>
      </c>
      <c r="J302" s="444">
        <v>1.6</v>
      </c>
      <c r="K302" s="444">
        <v>0</v>
      </c>
      <c r="L302" s="444"/>
      <c r="M302" s="444">
        <v>0</v>
      </c>
      <c r="N302" s="444">
        <v>60</v>
      </c>
      <c r="O302" s="444"/>
      <c r="P302" s="444"/>
      <c r="Q302" s="444">
        <v>0</v>
      </c>
      <c r="R302" s="444"/>
      <c r="S302" s="444">
        <v>0</v>
      </c>
      <c r="T302" s="444">
        <v>0</v>
      </c>
      <c r="U302" s="444"/>
      <c r="V302" s="444">
        <v>0</v>
      </c>
      <c r="W302" s="444">
        <v>0</v>
      </c>
      <c r="X302" s="418"/>
      <c r="Y302" s="445"/>
      <c r="Z302" s="420"/>
      <c r="AA302" s="421">
        <v>261.74</v>
      </c>
      <c r="AB302" s="421"/>
      <c r="AC302" s="454">
        <v>23</v>
      </c>
      <c r="AE302" s="419" t="s">
        <v>2192</v>
      </c>
      <c r="AF302" s="454">
        <v>1</v>
      </c>
      <c r="AG302" s="429">
        <v>43101</v>
      </c>
      <c r="AJ302" s="430">
        <v>43234</v>
      </c>
      <c r="AL302" s="424" t="s">
        <v>915</v>
      </c>
      <c r="AO302" s="445"/>
      <c r="AP302" s="454">
        <v>556705</v>
      </c>
      <c r="AQ302" s="431">
        <v>43234</v>
      </c>
      <c r="AR302" s="370">
        <v>0.3</v>
      </c>
      <c r="AT302" s="426"/>
      <c r="AU302" s="426"/>
      <c r="AV302" s="426"/>
      <c r="AY302" s="427" t="s">
        <v>1722</v>
      </c>
      <c r="AZ302" s="373"/>
      <c r="BB302" s="374" t="s">
        <v>1728</v>
      </c>
      <c r="BC302" s="445"/>
      <c r="BE302" s="448"/>
      <c r="BF302" s="449"/>
      <c r="BG302" s="428"/>
      <c r="BH302" s="445"/>
      <c r="BI302" s="491"/>
      <c r="BJ302" s="491">
        <v>6</v>
      </c>
      <c r="BK302" s="445" t="s">
        <v>3045</v>
      </c>
      <c r="BL302" s="419" t="s">
        <v>3046</v>
      </c>
      <c r="BM302" s="445"/>
      <c r="BN302" s="419"/>
      <c r="BO302" s="419"/>
      <c r="BP302" s="419"/>
      <c r="BQ302" s="419" t="s">
        <v>1783</v>
      </c>
      <c r="BR302" s="419">
        <v>2</v>
      </c>
      <c r="BS302" s="419"/>
      <c r="BT302" s="445"/>
      <c r="BU302" s="445"/>
      <c r="BV302" s="445"/>
      <c r="BW302" s="445" t="s">
        <v>2183</v>
      </c>
      <c r="BX302" s="445"/>
      <c r="BY302" s="445"/>
    </row>
    <row r="303" spans="1:77" ht="15">
      <c r="A303" s="370" t="s">
        <v>1783</v>
      </c>
      <c r="B303" s="415" t="s">
        <v>296</v>
      </c>
      <c r="C303" s="416" t="s">
        <v>2093</v>
      </c>
      <c r="D303" s="444">
        <v>0</v>
      </c>
      <c r="E303" s="415" t="s">
        <v>1716</v>
      </c>
      <c r="F303" s="444">
        <v>3</v>
      </c>
      <c r="G303" s="415" t="s">
        <v>1750</v>
      </c>
      <c r="H303" s="444">
        <v>99</v>
      </c>
      <c r="I303" s="417" t="s">
        <v>1434</v>
      </c>
      <c r="J303" s="444">
        <v>4.0999999999999996</v>
      </c>
      <c r="K303" s="444">
        <v>0</v>
      </c>
      <c r="L303" s="444"/>
      <c r="M303" s="444">
        <v>0</v>
      </c>
      <c r="N303" s="444">
        <v>120</v>
      </c>
      <c r="O303" s="444"/>
      <c r="P303" s="444"/>
      <c r="Q303" s="444">
        <v>0</v>
      </c>
      <c r="R303" s="444"/>
      <c r="S303" s="444">
        <v>0</v>
      </c>
      <c r="T303" s="444">
        <v>0</v>
      </c>
      <c r="U303" s="444"/>
      <c r="V303" s="444">
        <v>0</v>
      </c>
      <c r="W303" s="444">
        <v>0</v>
      </c>
      <c r="X303" s="418"/>
      <c r="Y303" s="445"/>
      <c r="Z303" s="420"/>
      <c r="AA303" s="421">
        <v>261.72000000000003</v>
      </c>
      <c r="AB303" s="421"/>
      <c r="AC303" s="454">
        <v>23</v>
      </c>
      <c r="AE303" s="419" t="s">
        <v>2193</v>
      </c>
      <c r="AF303" s="454">
        <v>1</v>
      </c>
      <c r="AG303" s="429">
        <v>43101</v>
      </c>
      <c r="AJ303" s="430">
        <v>43234</v>
      </c>
      <c r="AL303" s="424" t="s">
        <v>1027</v>
      </c>
      <c r="AO303" s="445"/>
      <c r="AP303" s="454">
        <v>556705</v>
      </c>
      <c r="AQ303" s="431">
        <v>43234</v>
      </c>
      <c r="AR303" s="370">
        <v>0.3</v>
      </c>
      <c r="AT303" s="426"/>
      <c r="AU303" s="426"/>
      <c r="AV303" s="426"/>
      <c r="AY303" s="427" t="s">
        <v>1722</v>
      </c>
      <c r="AZ303" s="373"/>
      <c r="BB303" s="374" t="s">
        <v>1728</v>
      </c>
      <c r="BC303" s="445"/>
      <c r="BE303" s="448"/>
      <c r="BF303" s="449"/>
      <c r="BG303" s="428"/>
      <c r="BH303" s="445"/>
      <c r="BI303" s="491"/>
      <c r="BJ303" s="491">
        <v>8</v>
      </c>
      <c r="BK303" s="445" t="s">
        <v>349</v>
      </c>
      <c r="BL303" s="419" t="s">
        <v>3047</v>
      </c>
      <c r="BM303" s="445"/>
      <c r="BN303" s="419"/>
      <c r="BO303" s="419"/>
      <c r="BP303" s="419"/>
      <c r="BQ303" s="419" t="s">
        <v>1783</v>
      </c>
      <c r="BR303" s="419">
        <v>2</v>
      </c>
      <c r="BS303" s="419"/>
      <c r="BT303" s="445"/>
      <c r="BU303" s="445"/>
      <c r="BV303" s="445"/>
      <c r="BW303" s="445" t="s">
        <v>2183</v>
      </c>
      <c r="BX303" s="445"/>
      <c r="BY303" s="445"/>
    </row>
    <row r="304" spans="1:77" ht="15">
      <c r="A304" s="370" t="s">
        <v>1783</v>
      </c>
      <c r="B304" s="415" t="s">
        <v>296</v>
      </c>
      <c r="C304" s="416" t="s">
        <v>1784</v>
      </c>
      <c r="D304" s="444">
        <v>0</v>
      </c>
      <c r="E304" s="415" t="s">
        <v>1716</v>
      </c>
      <c r="F304" s="444">
        <v>3</v>
      </c>
      <c r="G304" s="415" t="s">
        <v>1750</v>
      </c>
      <c r="H304" s="444">
        <v>68</v>
      </c>
      <c r="I304" s="417" t="s">
        <v>1660</v>
      </c>
      <c r="J304" s="444">
        <v>4.9000000000000004</v>
      </c>
      <c r="K304" s="444">
        <v>0</v>
      </c>
      <c r="L304" s="444"/>
      <c r="M304" s="444">
        <v>0</v>
      </c>
      <c r="N304" s="444">
        <v>40</v>
      </c>
      <c r="O304" s="444"/>
      <c r="P304" s="444"/>
      <c r="Q304" s="444">
        <v>166.67</v>
      </c>
      <c r="R304" s="444"/>
      <c r="S304" s="444">
        <v>0</v>
      </c>
      <c r="T304" s="444">
        <v>0</v>
      </c>
      <c r="U304" s="444"/>
      <c r="V304" s="444">
        <v>0</v>
      </c>
      <c r="W304" s="444">
        <v>0</v>
      </c>
      <c r="X304" s="418"/>
      <c r="Y304" s="445"/>
      <c r="Z304" s="420"/>
      <c r="AA304" s="421">
        <v>216.7</v>
      </c>
      <c r="AB304" s="421"/>
      <c r="AC304" s="454">
        <v>23</v>
      </c>
      <c r="AE304" s="419" t="s">
        <v>2195</v>
      </c>
      <c r="AF304" s="454">
        <v>1</v>
      </c>
      <c r="AG304" s="429">
        <v>43101</v>
      </c>
      <c r="AJ304" s="430">
        <v>43222</v>
      </c>
      <c r="AL304" s="424" t="s">
        <v>918</v>
      </c>
      <c r="AO304" s="445"/>
      <c r="AP304" s="454">
        <v>556627</v>
      </c>
      <c r="AQ304" s="431">
        <v>43102</v>
      </c>
      <c r="AR304" s="370">
        <v>0.5</v>
      </c>
      <c r="AT304" s="426"/>
      <c r="AU304" s="426"/>
      <c r="AV304" s="426"/>
      <c r="AY304" s="427" t="s">
        <v>1722</v>
      </c>
      <c r="AZ304" s="373"/>
      <c r="BB304" s="374" t="s">
        <v>1728</v>
      </c>
      <c r="BC304" s="445"/>
      <c r="BE304" s="448"/>
      <c r="BF304" s="449"/>
      <c r="BG304" s="428"/>
      <c r="BH304" s="445"/>
      <c r="BI304" s="491"/>
      <c r="BJ304" s="491">
        <v>10</v>
      </c>
      <c r="BK304" s="445" t="s">
        <v>308</v>
      </c>
      <c r="BL304" s="419" t="s">
        <v>3048</v>
      </c>
      <c r="BM304" s="445"/>
      <c r="BN304" s="419"/>
      <c r="BO304" s="419"/>
      <c r="BP304" s="419"/>
      <c r="BQ304" s="419" t="s">
        <v>1783</v>
      </c>
      <c r="BR304" s="419">
        <v>2</v>
      </c>
      <c r="BS304" s="419"/>
      <c r="BT304" s="445"/>
      <c r="BU304" s="445"/>
      <c r="BV304" s="445"/>
      <c r="BW304" s="445" t="s">
        <v>2183</v>
      </c>
      <c r="BX304" s="445"/>
      <c r="BY304" s="445"/>
    </row>
    <row r="305" spans="1:77" ht="15">
      <c r="A305" s="370" t="s">
        <v>1783</v>
      </c>
      <c r="B305" s="415" t="s">
        <v>296</v>
      </c>
      <c r="C305" s="416" t="s">
        <v>1784</v>
      </c>
      <c r="D305" s="444">
        <v>0</v>
      </c>
      <c r="E305" s="415" t="s">
        <v>1716</v>
      </c>
      <c r="F305" s="444">
        <v>3</v>
      </c>
      <c r="G305" s="415" t="s">
        <v>1750</v>
      </c>
      <c r="H305" s="444">
        <v>79</v>
      </c>
      <c r="I305" s="417" t="s">
        <v>1659</v>
      </c>
      <c r="J305" s="444">
        <v>3.5</v>
      </c>
      <c r="K305" s="444">
        <v>0</v>
      </c>
      <c r="L305" s="444"/>
      <c r="M305" s="444">
        <v>0</v>
      </c>
      <c r="N305" s="444">
        <v>0</v>
      </c>
      <c r="O305" s="444"/>
      <c r="P305" s="444"/>
      <c r="Q305" s="444">
        <v>0</v>
      </c>
      <c r="R305" s="444"/>
      <c r="S305" s="444">
        <v>0</v>
      </c>
      <c r="T305" s="444">
        <v>520</v>
      </c>
      <c r="U305" s="444"/>
      <c r="V305" s="444">
        <v>0</v>
      </c>
      <c r="W305" s="444">
        <v>0</v>
      </c>
      <c r="X305" s="418"/>
      <c r="Y305" s="445"/>
      <c r="Z305" s="420"/>
      <c r="AA305" s="421">
        <v>100.97</v>
      </c>
      <c r="AB305" s="421"/>
      <c r="AC305" s="454">
        <v>23</v>
      </c>
      <c r="AE305" s="419" t="s">
        <v>2196</v>
      </c>
      <c r="AF305" s="454">
        <v>1</v>
      </c>
      <c r="AG305" s="429">
        <v>43101</v>
      </c>
      <c r="AJ305" s="430">
        <v>43222</v>
      </c>
      <c r="AL305" s="424" t="s">
        <v>918</v>
      </c>
      <c r="AO305" s="445"/>
      <c r="AP305" s="454">
        <v>556627</v>
      </c>
      <c r="AQ305" s="431">
        <v>43102</v>
      </c>
      <c r="AR305" s="370">
        <v>0.5</v>
      </c>
      <c r="AT305" s="426"/>
      <c r="AU305" s="426"/>
      <c r="AV305" s="426"/>
      <c r="AY305" s="427" t="s">
        <v>1722</v>
      </c>
      <c r="AZ305" s="373"/>
      <c r="BB305" s="374" t="s">
        <v>1728</v>
      </c>
      <c r="BC305" s="445"/>
      <c r="BE305" s="448"/>
      <c r="BF305" s="449"/>
      <c r="BG305" s="428"/>
      <c r="BH305" s="445"/>
      <c r="BI305" s="491"/>
      <c r="BJ305" s="491">
        <v>11</v>
      </c>
      <c r="BK305" s="445" t="s">
        <v>1845</v>
      </c>
      <c r="BL305" s="419" t="s">
        <v>3049</v>
      </c>
      <c r="BM305" s="445"/>
      <c r="BN305" s="419"/>
      <c r="BO305" s="419"/>
      <c r="BP305" s="419"/>
      <c r="BQ305" s="419" t="s">
        <v>1783</v>
      </c>
      <c r="BR305" s="419">
        <v>2</v>
      </c>
      <c r="BS305" s="419"/>
      <c r="BT305" s="445"/>
      <c r="BU305" s="445"/>
      <c r="BV305" s="445"/>
      <c r="BW305" s="445" t="s">
        <v>2183</v>
      </c>
      <c r="BX305" s="445"/>
      <c r="BY305" s="445"/>
    </row>
    <row r="306" spans="1:77" ht="15">
      <c r="A306" s="370" t="s">
        <v>1783</v>
      </c>
      <c r="B306" s="415" t="s">
        <v>296</v>
      </c>
      <c r="C306" s="416" t="s">
        <v>1784</v>
      </c>
      <c r="D306" s="444">
        <v>0</v>
      </c>
      <c r="E306" s="415" t="s">
        <v>1716</v>
      </c>
      <c r="F306" s="444">
        <v>3</v>
      </c>
      <c r="G306" s="415" t="s">
        <v>1750</v>
      </c>
      <c r="H306" s="444">
        <v>103</v>
      </c>
      <c r="I306" s="417" t="s">
        <v>1632</v>
      </c>
      <c r="J306" s="444">
        <v>1.8</v>
      </c>
      <c r="K306" s="444">
        <v>0</v>
      </c>
      <c r="L306" s="444"/>
      <c r="M306" s="444">
        <v>0</v>
      </c>
      <c r="N306" s="444">
        <v>0</v>
      </c>
      <c r="O306" s="444"/>
      <c r="P306" s="444"/>
      <c r="Q306" s="444">
        <v>66.67</v>
      </c>
      <c r="R306" s="444"/>
      <c r="S306" s="444">
        <v>0</v>
      </c>
      <c r="T306" s="444">
        <v>225</v>
      </c>
      <c r="U306" s="444"/>
      <c r="V306" s="444">
        <v>0</v>
      </c>
      <c r="W306" s="444">
        <v>0</v>
      </c>
      <c r="X306" s="418"/>
      <c r="Y306" s="445"/>
      <c r="Z306" s="420"/>
      <c r="AA306" s="421">
        <v>112.25</v>
      </c>
      <c r="AB306" s="421"/>
      <c r="AC306" s="454">
        <v>23</v>
      </c>
      <c r="AE306" s="419" t="s">
        <v>2194</v>
      </c>
      <c r="AF306" s="454">
        <v>1</v>
      </c>
      <c r="AG306" s="429">
        <v>43101</v>
      </c>
      <c r="AJ306" s="430">
        <v>43222</v>
      </c>
      <c r="AL306" s="424" t="s">
        <v>1027</v>
      </c>
      <c r="AO306" s="445"/>
      <c r="AP306" s="454">
        <v>556627</v>
      </c>
      <c r="AQ306" s="431">
        <v>43102</v>
      </c>
      <c r="AR306" s="370">
        <v>0.5</v>
      </c>
      <c r="AT306" s="426"/>
      <c r="AU306" s="426"/>
      <c r="AV306" s="426"/>
      <c r="AY306" s="427" t="s">
        <v>1722</v>
      </c>
      <c r="AZ306" s="373"/>
      <c r="BB306" s="374" t="s">
        <v>1728</v>
      </c>
      <c r="BC306" s="445"/>
      <c r="BE306" s="448"/>
      <c r="BF306" s="449"/>
      <c r="BG306" s="428"/>
      <c r="BH306" s="445"/>
      <c r="BI306" s="491"/>
      <c r="BJ306" s="491">
        <v>9</v>
      </c>
      <c r="BK306" s="445" t="s">
        <v>3050</v>
      </c>
      <c r="BL306" s="419" t="s">
        <v>3051</v>
      </c>
      <c r="BM306" s="445"/>
      <c r="BN306" s="419"/>
      <c r="BO306" s="419"/>
      <c r="BP306" s="419"/>
      <c r="BQ306" s="419" t="s">
        <v>1783</v>
      </c>
      <c r="BR306" s="419">
        <v>2</v>
      </c>
      <c r="BS306" s="419"/>
      <c r="BT306" s="445"/>
      <c r="BU306" s="445"/>
      <c r="BV306" s="445"/>
      <c r="BW306" s="445" t="s">
        <v>2183</v>
      </c>
      <c r="BX306" s="445"/>
      <c r="BY306" s="445"/>
    </row>
    <row r="307" spans="1:77" ht="15">
      <c r="A307" s="370" t="s">
        <v>1269</v>
      </c>
      <c r="B307" s="415" t="s">
        <v>296</v>
      </c>
      <c r="C307" s="416" t="s">
        <v>1784</v>
      </c>
      <c r="D307" s="444">
        <v>0</v>
      </c>
      <c r="E307" s="415" t="s">
        <v>1716</v>
      </c>
      <c r="F307" s="444">
        <v>3</v>
      </c>
      <c r="G307" s="415" t="s">
        <v>1661</v>
      </c>
      <c r="H307" s="444">
        <v>79</v>
      </c>
      <c r="I307" s="417" t="s">
        <v>1659</v>
      </c>
      <c r="J307" s="444">
        <v>3.5</v>
      </c>
      <c r="K307" s="444">
        <v>210</v>
      </c>
      <c r="L307" s="444">
        <v>0</v>
      </c>
      <c r="M307" s="444">
        <v>0</v>
      </c>
      <c r="N307" s="444">
        <v>0</v>
      </c>
      <c r="O307" s="444">
        <v>0</v>
      </c>
      <c r="P307" s="444">
        <v>0</v>
      </c>
      <c r="Q307" s="444">
        <v>0</v>
      </c>
      <c r="R307" s="444">
        <v>0</v>
      </c>
      <c r="S307" s="444">
        <v>0</v>
      </c>
      <c r="T307" s="444">
        <v>0</v>
      </c>
      <c r="U307" s="444">
        <v>0</v>
      </c>
      <c r="V307" s="444">
        <v>0</v>
      </c>
      <c r="W307" s="444">
        <v>8</v>
      </c>
      <c r="X307" s="418"/>
      <c r="Y307" s="445"/>
      <c r="Z307" s="420"/>
      <c r="AA307" s="421">
        <v>285.29700000000003</v>
      </c>
      <c r="AB307" s="421">
        <v>29.978000000000002</v>
      </c>
      <c r="AC307" s="454">
        <v>104</v>
      </c>
      <c r="AE307" s="419" t="s">
        <v>2197</v>
      </c>
      <c r="AF307" s="454">
        <v>1</v>
      </c>
      <c r="AG307" s="429">
        <v>43101</v>
      </c>
      <c r="AJ307" s="430">
        <v>43222</v>
      </c>
      <c r="AL307" s="424" t="s">
        <v>918</v>
      </c>
      <c r="AO307" s="445"/>
      <c r="AP307" s="454">
        <v>556628</v>
      </c>
      <c r="AQ307" s="431">
        <v>43102</v>
      </c>
      <c r="AT307" s="426"/>
      <c r="AU307" s="426"/>
      <c r="AV307" s="426"/>
      <c r="AY307" s="427" t="s">
        <v>1722</v>
      </c>
      <c r="AZ307" s="373"/>
      <c r="BB307" s="374" t="s">
        <v>1728</v>
      </c>
      <c r="BC307" s="445"/>
      <c r="BE307" s="448">
        <v>0</v>
      </c>
      <c r="BF307" s="449">
        <v>0</v>
      </c>
      <c r="BG307" s="428" t="s">
        <v>1764</v>
      </c>
      <c r="BH307" s="445"/>
      <c r="BI307" s="491"/>
      <c r="BJ307" s="491">
        <v>15</v>
      </c>
      <c r="BK307" s="445" t="s">
        <v>1845</v>
      </c>
      <c r="BL307" s="419" t="s">
        <v>3052</v>
      </c>
      <c r="BM307" s="445"/>
      <c r="BN307" s="419" t="s">
        <v>1765</v>
      </c>
      <c r="BO307" s="419" t="s">
        <v>1765</v>
      </c>
      <c r="BP307" s="419" t="s">
        <v>1765</v>
      </c>
      <c r="BQ307" s="419" t="s">
        <v>1269</v>
      </c>
      <c r="BR307" s="419"/>
      <c r="BS307" s="419"/>
      <c r="BT307" s="445"/>
      <c r="BU307" s="445"/>
      <c r="BV307" s="445"/>
      <c r="BW307" s="445" t="s">
        <v>2183</v>
      </c>
      <c r="BX307" s="445"/>
      <c r="BY307" s="445"/>
    </row>
    <row r="308" spans="1:77" ht="15">
      <c r="A308" s="370" t="s">
        <v>31</v>
      </c>
      <c r="B308" s="415" t="s">
        <v>19</v>
      </c>
      <c r="C308" s="416" t="s">
        <v>31</v>
      </c>
      <c r="D308" s="444">
        <v>0</v>
      </c>
      <c r="E308" s="415" t="s">
        <v>1716</v>
      </c>
      <c r="F308" s="444">
        <v>2</v>
      </c>
      <c r="G308" s="415" t="s">
        <v>1661</v>
      </c>
      <c r="H308" s="444">
        <v>43</v>
      </c>
      <c r="I308" s="417" t="s">
        <v>1768</v>
      </c>
      <c r="J308" s="444">
        <v>1.3</v>
      </c>
      <c r="K308" s="444">
        <v>741</v>
      </c>
      <c r="L308" s="444">
        <v>0</v>
      </c>
      <c r="M308" s="444">
        <v>4</v>
      </c>
      <c r="N308" s="444">
        <v>69</v>
      </c>
      <c r="O308" s="444">
        <v>0</v>
      </c>
      <c r="P308" s="444">
        <v>0</v>
      </c>
      <c r="Q308" s="444">
        <v>5</v>
      </c>
      <c r="R308" s="444">
        <v>32</v>
      </c>
      <c r="S308" s="444">
        <v>20</v>
      </c>
      <c r="T308" s="444">
        <v>100</v>
      </c>
      <c r="U308" s="444">
        <v>11</v>
      </c>
      <c r="V308" s="444">
        <v>17</v>
      </c>
      <c r="W308" s="444">
        <v>67</v>
      </c>
      <c r="X308" s="418"/>
      <c r="Y308" s="445"/>
      <c r="Z308" s="420"/>
      <c r="AA308" s="421">
        <v>84.84</v>
      </c>
      <c r="AB308" s="421">
        <v>40.945999999999998</v>
      </c>
      <c r="AC308" s="454">
        <v>28</v>
      </c>
      <c r="AE308" s="419" t="s">
        <v>2198</v>
      </c>
      <c r="AF308" s="454">
        <v>1</v>
      </c>
      <c r="AG308" s="429">
        <v>43101</v>
      </c>
      <c r="AJ308" s="430">
        <v>43245</v>
      </c>
      <c r="AL308" s="424" t="s">
        <v>1037</v>
      </c>
      <c r="AO308" s="445"/>
      <c r="AP308" s="454">
        <v>556620</v>
      </c>
      <c r="AQ308" s="431">
        <v>43077</v>
      </c>
      <c r="AT308" s="426"/>
      <c r="AU308" s="426"/>
      <c r="AV308" s="426"/>
      <c r="AY308" s="427" t="s">
        <v>1720</v>
      </c>
      <c r="AZ308" s="373"/>
      <c r="BB308" s="374" t="s">
        <v>1726</v>
      </c>
      <c r="BC308" s="445"/>
      <c r="BE308" s="448">
        <v>0</v>
      </c>
      <c r="BF308" s="449">
        <v>20</v>
      </c>
      <c r="BG308" s="428" t="s">
        <v>1764</v>
      </c>
      <c r="BH308" s="445"/>
      <c r="BI308" s="491"/>
      <c r="BJ308" s="491">
        <v>5</v>
      </c>
      <c r="BK308" s="445" t="s">
        <v>3053</v>
      </c>
      <c r="BL308" s="419" t="s">
        <v>3054</v>
      </c>
      <c r="BM308" s="445"/>
      <c r="BN308" s="419" t="s">
        <v>1765</v>
      </c>
      <c r="BO308" s="419" t="s">
        <v>1765</v>
      </c>
      <c r="BP308" s="419" t="s">
        <v>1765</v>
      </c>
      <c r="BQ308" s="419" t="s">
        <v>31</v>
      </c>
      <c r="BR308" s="419"/>
      <c r="BS308" s="419"/>
      <c r="BT308" s="445"/>
      <c r="BU308" s="445"/>
      <c r="BV308" s="445"/>
      <c r="BW308" s="445" t="s">
        <v>2199</v>
      </c>
      <c r="BX308" s="445"/>
      <c r="BY308" s="445"/>
    </row>
    <row r="309" spans="1:77" ht="15">
      <c r="A309" s="370" t="s">
        <v>31</v>
      </c>
      <c r="B309" s="415" t="s">
        <v>296</v>
      </c>
      <c r="C309" s="416" t="s">
        <v>31</v>
      </c>
      <c r="D309" s="444">
        <v>0</v>
      </c>
      <c r="E309" s="415" t="s">
        <v>1716</v>
      </c>
      <c r="F309" s="444">
        <v>2</v>
      </c>
      <c r="G309" s="415" t="s">
        <v>1661</v>
      </c>
      <c r="H309" s="444">
        <v>68</v>
      </c>
      <c r="I309" s="417" t="s">
        <v>1687</v>
      </c>
      <c r="J309" s="444">
        <v>2.1</v>
      </c>
      <c r="K309" s="444">
        <v>615</v>
      </c>
      <c r="L309" s="444">
        <v>2</v>
      </c>
      <c r="M309" s="444">
        <v>61</v>
      </c>
      <c r="N309" s="444">
        <v>160</v>
      </c>
      <c r="O309" s="444">
        <v>0</v>
      </c>
      <c r="P309" s="444">
        <v>0</v>
      </c>
      <c r="Q309" s="444">
        <v>5</v>
      </c>
      <c r="R309" s="444">
        <v>48</v>
      </c>
      <c r="S309" s="444">
        <v>91</v>
      </c>
      <c r="T309" s="444">
        <v>151</v>
      </c>
      <c r="U309" s="444">
        <v>16</v>
      </c>
      <c r="V309" s="444">
        <v>74</v>
      </c>
      <c r="W309" s="444">
        <v>122</v>
      </c>
      <c r="X309" s="418"/>
      <c r="Y309" s="445"/>
      <c r="Z309" s="420"/>
      <c r="AA309" s="421">
        <v>70.978999999999999</v>
      </c>
      <c r="AB309" s="421">
        <v>25.576000000000001</v>
      </c>
      <c r="AC309" s="454">
        <v>49</v>
      </c>
      <c r="AE309" s="419" t="s">
        <v>2200</v>
      </c>
      <c r="AF309" s="454">
        <v>1</v>
      </c>
      <c r="AG309" s="429">
        <v>43101</v>
      </c>
      <c r="AJ309" s="430">
        <v>43222</v>
      </c>
      <c r="AL309" s="424" t="s">
        <v>1025</v>
      </c>
      <c r="AO309" s="445"/>
      <c r="AP309" s="454">
        <v>556622</v>
      </c>
      <c r="AQ309" s="431">
        <v>43077</v>
      </c>
      <c r="AT309" s="426"/>
      <c r="AU309" s="426"/>
      <c r="AV309" s="426"/>
      <c r="AY309" s="427" t="s">
        <v>1722</v>
      </c>
      <c r="AZ309" s="373"/>
      <c r="BB309" s="374" t="s">
        <v>1728</v>
      </c>
      <c r="BC309" s="445"/>
      <c r="BE309" s="448">
        <v>10</v>
      </c>
      <c r="BF309" s="449">
        <v>40</v>
      </c>
      <c r="BG309" s="428" t="s">
        <v>1764</v>
      </c>
      <c r="BH309" s="445"/>
      <c r="BI309" s="491"/>
      <c r="BJ309" s="491">
        <v>14</v>
      </c>
      <c r="BK309" s="445" t="s">
        <v>264</v>
      </c>
      <c r="BL309" s="419" t="s">
        <v>3055</v>
      </c>
      <c r="BM309" s="445"/>
      <c r="BN309" s="419" t="s">
        <v>1765</v>
      </c>
      <c r="BO309" s="419" t="s">
        <v>1765</v>
      </c>
      <c r="BP309" s="419" t="s">
        <v>1765</v>
      </c>
      <c r="BQ309" s="419" t="s">
        <v>31</v>
      </c>
      <c r="BR309" s="419"/>
      <c r="BS309" s="419"/>
      <c r="BT309" s="445"/>
      <c r="BU309" s="445"/>
      <c r="BV309" s="445"/>
      <c r="BW309" s="445" t="s">
        <v>2201</v>
      </c>
      <c r="BX309" s="445"/>
      <c r="BY309" s="445"/>
    </row>
    <row r="310" spans="1:77" ht="15">
      <c r="A310" s="370" t="s">
        <v>31</v>
      </c>
      <c r="B310" s="415" t="s">
        <v>296</v>
      </c>
      <c r="C310" s="416" t="s">
        <v>31</v>
      </c>
      <c r="D310" s="444">
        <v>0</v>
      </c>
      <c r="E310" s="415" t="s">
        <v>1716</v>
      </c>
      <c r="F310" s="444">
        <v>2</v>
      </c>
      <c r="G310" s="415" t="s">
        <v>1661</v>
      </c>
      <c r="H310" s="444">
        <v>68</v>
      </c>
      <c r="I310" s="417" t="s">
        <v>1687</v>
      </c>
      <c r="J310" s="444">
        <v>2.1</v>
      </c>
      <c r="K310" s="444">
        <v>615</v>
      </c>
      <c r="L310" s="444">
        <v>2</v>
      </c>
      <c r="M310" s="444">
        <v>61</v>
      </c>
      <c r="N310" s="444">
        <v>160</v>
      </c>
      <c r="O310" s="444">
        <v>0</v>
      </c>
      <c r="P310" s="444">
        <v>0</v>
      </c>
      <c r="Q310" s="444">
        <v>5</v>
      </c>
      <c r="R310" s="444">
        <v>48</v>
      </c>
      <c r="S310" s="444">
        <v>91</v>
      </c>
      <c r="T310" s="444">
        <v>151</v>
      </c>
      <c r="U310" s="444">
        <v>16</v>
      </c>
      <c r="V310" s="444">
        <v>74</v>
      </c>
      <c r="W310" s="444">
        <v>122</v>
      </c>
      <c r="X310" s="418"/>
      <c r="Y310" s="445"/>
      <c r="Z310" s="420"/>
      <c r="AA310" s="421">
        <v>70.978999999999999</v>
      </c>
      <c r="AB310" s="421">
        <v>25.576000000000001</v>
      </c>
      <c r="AC310" s="454">
        <v>49</v>
      </c>
      <c r="AE310" s="419" t="s">
        <v>2200</v>
      </c>
      <c r="AF310" s="454">
        <v>1</v>
      </c>
      <c r="AG310" s="429">
        <v>43101</v>
      </c>
      <c r="AJ310" s="430">
        <v>43222</v>
      </c>
      <c r="AL310" s="424" t="s">
        <v>1025</v>
      </c>
      <c r="AO310" s="445"/>
      <c r="AP310" s="454">
        <v>556622</v>
      </c>
      <c r="AQ310" s="431">
        <v>43077</v>
      </c>
      <c r="AT310" s="426"/>
      <c r="AU310" s="426"/>
      <c r="AV310" s="426"/>
      <c r="AY310" s="427" t="s">
        <v>1722</v>
      </c>
      <c r="AZ310" s="373"/>
      <c r="BB310" s="374" t="s">
        <v>1728</v>
      </c>
      <c r="BC310" s="445"/>
      <c r="BE310" s="448">
        <v>10</v>
      </c>
      <c r="BF310" s="449">
        <v>40</v>
      </c>
      <c r="BG310" s="428" t="s">
        <v>1764</v>
      </c>
      <c r="BH310" s="445"/>
      <c r="BI310" s="491"/>
      <c r="BJ310" s="491">
        <v>14</v>
      </c>
      <c r="BK310" s="445" t="s">
        <v>264</v>
      </c>
      <c r="BL310" s="419" t="s">
        <v>3055</v>
      </c>
      <c r="BM310" s="445"/>
      <c r="BN310" s="419" t="s">
        <v>1765</v>
      </c>
      <c r="BO310" s="419" t="s">
        <v>1765</v>
      </c>
      <c r="BP310" s="419" t="s">
        <v>1765</v>
      </c>
      <c r="BQ310" s="419" t="s">
        <v>31</v>
      </c>
      <c r="BR310" s="419"/>
      <c r="BS310" s="419"/>
      <c r="BT310" s="445"/>
      <c r="BU310" s="445"/>
      <c r="BV310" s="445"/>
      <c r="BW310" s="445" t="s">
        <v>2201</v>
      </c>
      <c r="BX310" s="445"/>
      <c r="BY310" s="445"/>
    </row>
    <row r="311" spans="1:77" ht="15">
      <c r="A311" s="370" t="s">
        <v>1269</v>
      </c>
      <c r="B311" s="415" t="s">
        <v>177</v>
      </c>
      <c r="C311" s="416" t="s">
        <v>2185</v>
      </c>
      <c r="D311" s="444">
        <v>0</v>
      </c>
      <c r="E311" s="415" t="s">
        <v>1716</v>
      </c>
      <c r="F311" s="444">
        <v>3</v>
      </c>
      <c r="G311" s="415" t="s">
        <v>1661</v>
      </c>
      <c r="H311" s="444">
        <v>72</v>
      </c>
      <c r="I311" s="417" t="s">
        <v>1433</v>
      </c>
      <c r="J311" s="444">
        <v>4.4000000000000004</v>
      </c>
      <c r="K311" s="444">
        <v>601</v>
      </c>
      <c r="L311" s="444">
        <v>0</v>
      </c>
      <c r="M311" s="444">
        <v>0</v>
      </c>
      <c r="N311" s="444">
        <v>5</v>
      </c>
      <c r="O311" s="444">
        <v>0</v>
      </c>
      <c r="P311" s="444">
        <v>0</v>
      </c>
      <c r="Q311" s="444">
        <v>0</v>
      </c>
      <c r="R311" s="444">
        <v>0</v>
      </c>
      <c r="S311" s="444">
        <v>0</v>
      </c>
      <c r="T311" s="444">
        <v>0</v>
      </c>
      <c r="U311" s="444">
        <v>0</v>
      </c>
      <c r="V311" s="444">
        <v>4</v>
      </c>
      <c r="W311" s="444">
        <v>69</v>
      </c>
      <c r="X311" s="418"/>
      <c r="Y311" s="445"/>
      <c r="Z311" s="420"/>
      <c r="AA311" s="421">
        <v>127.45399999999999</v>
      </c>
      <c r="AB311" s="421">
        <v>29.978000000000002</v>
      </c>
      <c r="AC311" s="454">
        <v>8</v>
      </c>
      <c r="AE311" s="419" t="s">
        <v>2202</v>
      </c>
      <c r="AF311" s="454">
        <v>1</v>
      </c>
      <c r="AG311" s="429">
        <v>43101</v>
      </c>
      <c r="AJ311" s="430">
        <v>43227</v>
      </c>
      <c r="AL311" s="424" t="s">
        <v>920</v>
      </c>
      <c r="AO311" s="445"/>
      <c r="AP311" s="454">
        <v>556700</v>
      </c>
      <c r="AQ311" s="431">
        <v>43227</v>
      </c>
      <c r="AT311" s="426"/>
      <c r="AU311" s="426"/>
      <c r="AV311" s="426"/>
      <c r="AY311" s="427" t="s">
        <v>1717</v>
      </c>
      <c r="AZ311" s="373"/>
      <c r="BB311" s="374" t="s">
        <v>1727</v>
      </c>
      <c r="BC311" s="445"/>
      <c r="BE311" s="448">
        <v>0</v>
      </c>
      <c r="BF311" s="449">
        <v>0</v>
      </c>
      <c r="BG311" s="428" t="s">
        <v>1764</v>
      </c>
      <c r="BH311" s="445"/>
      <c r="BI311" s="491"/>
      <c r="BJ311" s="491">
        <v>1</v>
      </c>
      <c r="BK311" s="445" t="s">
        <v>3056</v>
      </c>
      <c r="BL311" s="419" t="s">
        <v>3057</v>
      </c>
      <c r="BM311" s="445"/>
      <c r="BN311" s="419" t="s">
        <v>1765</v>
      </c>
      <c r="BO311" s="419" t="s">
        <v>1765</v>
      </c>
      <c r="BP311" s="419" t="s">
        <v>1765</v>
      </c>
      <c r="BQ311" s="419" t="s">
        <v>1269</v>
      </c>
      <c r="BR311" s="419"/>
      <c r="BS311" s="419"/>
      <c r="BT311" s="445"/>
      <c r="BU311" s="445"/>
      <c r="BV311" s="445"/>
      <c r="BW311" s="445" t="s">
        <v>2201</v>
      </c>
      <c r="BX311" s="445"/>
      <c r="BY311" s="445"/>
    </row>
    <row r="312" spans="1:77" ht="15">
      <c r="A312" s="370" t="s">
        <v>1783</v>
      </c>
      <c r="B312" s="415" t="s">
        <v>177</v>
      </c>
      <c r="C312" s="416" t="s">
        <v>1784</v>
      </c>
      <c r="D312" s="444">
        <v>0</v>
      </c>
      <c r="E312" s="415" t="s">
        <v>1716</v>
      </c>
      <c r="F312" s="444">
        <v>3</v>
      </c>
      <c r="G312" s="415" t="s">
        <v>1750</v>
      </c>
      <c r="H312" s="444">
        <v>60</v>
      </c>
      <c r="I312" s="417" t="s">
        <v>1660</v>
      </c>
      <c r="J312" s="444">
        <v>7.4</v>
      </c>
      <c r="K312" s="444">
        <v>0</v>
      </c>
      <c r="L312" s="444"/>
      <c r="M312" s="444">
        <v>0</v>
      </c>
      <c r="N312" s="444">
        <v>1600</v>
      </c>
      <c r="O312" s="444"/>
      <c r="P312" s="444"/>
      <c r="Q312" s="444">
        <v>450</v>
      </c>
      <c r="R312" s="444"/>
      <c r="S312" s="444">
        <v>0</v>
      </c>
      <c r="T312" s="444">
        <v>0</v>
      </c>
      <c r="U312" s="444"/>
      <c r="V312" s="444">
        <v>0</v>
      </c>
      <c r="W312" s="444">
        <v>0</v>
      </c>
      <c r="X312" s="418"/>
      <c r="Y312" s="445"/>
      <c r="Z312" s="420"/>
      <c r="AA312" s="421">
        <v>171.65</v>
      </c>
      <c r="AB312" s="421"/>
      <c r="AC312" s="454">
        <v>23</v>
      </c>
      <c r="AE312" s="419" t="s">
        <v>2203</v>
      </c>
      <c r="AF312" s="454">
        <v>1</v>
      </c>
      <c r="AG312" s="429">
        <v>43101</v>
      </c>
      <c r="AJ312" s="430">
        <v>43222</v>
      </c>
      <c r="AL312" s="424" t="s">
        <v>920</v>
      </c>
      <c r="AO312" s="445"/>
      <c r="AP312" s="454">
        <v>556636</v>
      </c>
      <c r="AQ312" s="431">
        <v>43102</v>
      </c>
      <c r="AR312" s="370">
        <v>0.3</v>
      </c>
      <c r="AT312" s="426"/>
      <c r="AU312" s="426"/>
      <c r="AV312" s="426"/>
      <c r="AY312" s="427" t="s">
        <v>1717</v>
      </c>
      <c r="AZ312" s="373"/>
      <c r="BB312" s="374" t="s">
        <v>1727</v>
      </c>
      <c r="BC312" s="445"/>
      <c r="BE312" s="448"/>
      <c r="BF312" s="449"/>
      <c r="BG312" s="428"/>
      <c r="BH312" s="445"/>
      <c r="BI312" s="491"/>
      <c r="BJ312" s="491">
        <v>5</v>
      </c>
      <c r="BK312" s="445" t="s">
        <v>3058</v>
      </c>
      <c r="BL312" s="419" t="s">
        <v>3059</v>
      </c>
      <c r="BM312" s="445"/>
      <c r="BN312" s="419"/>
      <c r="BO312" s="419"/>
      <c r="BP312" s="419"/>
      <c r="BQ312" s="419" t="s">
        <v>1783</v>
      </c>
      <c r="BR312" s="419">
        <v>2</v>
      </c>
      <c r="BS312" s="419"/>
      <c r="BT312" s="445"/>
      <c r="BU312" s="445"/>
      <c r="BV312" s="445"/>
      <c r="BW312" s="445" t="s">
        <v>2201</v>
      </c>
      <c r="BX312" s="445"/>
      <c r="BY312" s="445"/>
    </row>
    <row r="313" spans="1:77" ht="15">
      <c r="A313" s="370" t="s">
        <v>1783</v>
      </c>
      <c r="B313" s="415" t="s">
        <v>216</v>
      </c>
      <c r="C313" s="416" t="s">
        <v>1784</v>
      </c>
      <c r="D313" s="444">
        <v>0</v>
      </c>
      <c r="E313" s="415" t="s">
        <v>1716</v>
      </c>
      <c r="F313" s="444">
        <v>3</v>
      </c>
      <c r="G313" s="415" t="s">
        <v>1750</v>
      </c>
      <c r="H313" s="444">
        <v>60</v>
      </c>
      <c r="I313" s="417" t="s">
        <v>1660</v>
      </c>
      <c r="J313" s="444">
        <v>7.4</v>
      </c>
      <c r="K313" s="444">
        <v>0</v>
      </c>
      <c r="L313" s="444"/>
      <c r="M313" s="444">
        <v>0</v>
      </c>
      <c r="N313" s="444">
        <v>1600</v>
      </c>
      <c r="O313" s="444"/>
      <c r="P313" s="444"/>
      <c r="Q313" s="444">
        <v>450</v>
      </c>
      <c r="R313" s="444"/>
      <c r="S313" s="444">
        <v>0</v>
      </c>
      <c r="T313" s="444">
        <v>0</v>
      </c>
      <c r="U313" s="444"/>
      <c r="V313" s="444">
        <v>0</v>
      </c>
      <c r="W313" s="444">
        <v>0</v>
      </c>
      <c r="X313" s="418"/>
      <c r="Y313" s="445"/>
      <c r="Z313" s="420"/>
      <c r="AA313" s="421">
        <v>171.65</v>
      </c>
      <c r="AB313" s="421"/>
      <c r="AC313" s="454">
        <v>23</v>
      </c>
      <c r="AE313" s="419" t="s">
        <v>2204</v>
      </c>
      <c r="AF313" s="454">
        <v>1</v>
      </c>
      <c r="AG313" s="429">
        <v>43101</v>
      </c>
      <c r="AJ313" s="430">
        <v>43222</v>
      </c>
      <c r="AL313" s="424" t="s">
        <v>920</v>
      </c>
      <c r="AO313" s="445"/>
      <c r="AP313" s="454">
        <v>556636</v>
      </c>
      <c r="AQ313" s="431">
        <v>43102</v>
      </c>
      <c r="AR313" s="370">
        <v>0.3</v>
      </c>
      <c r="AT313" s="426"/>
      <c r="AU313" s="426"/>
      <c r="AV313" s="426"/>
      <c r="AY313" s="427" t="s">
        <v>1720</v>
      </c>
      <c r="AZ313" s="373"/>
      <c r="BB313" s="374" t="s">
        <v>1726</v>
      </c>
      <c r="BC313" s="445"/>
      <c r="BE313" s="448"/>
      <c r="BF313" s="449"/>
      <c r="BG313" s="428"/>
      <c r="BH313" s="445"/>
      <c r="BI313" s="491"/>
      <c r="BJ313" s="491">
        <v>5</v>
      </c>
      <c r="BK313" s="445" t="s">
        <v>3058</v>
      </c>
      <c r="BL313" s="419" t="s">
        <v>3059</v>
      </c>
      <c r="BM313" s="445"/>
      <c r="BN313" s="419"/>
      <c r="BO313" s="419"/>
      <c r="BP313" s="419"/>
      <c r="BQ313" s="419" t="s">
        <v>1783</v>
      </c>
      <c r="BR313" s="419">
        <v>2</v>
      </c>
      <c r="BS313" s="419"/>
      <c r="BT313" s="445"/>
      <c r="BU313" s="445"/>
      <c r="BV313" s="445"/>
      <c r="BW313" s="445" t="s">
        <v>2205</v>
      </c>
      <c r="BX313" s="445"/>
      <c r="BY313" s="445"/>
    </row>
    <row r="314" spans="1:77" ht="15">
      <c r="A314" s="370" t="s">
        <v>31</v>
      </c>
      <c r="B314" s="415" t="s">
        <v>216</v>
      </c>
      <c r="C314" s="416" t="s">
        <v>31</v>
      </c>
      <c r="D314" s="444">
        <v>0</v>
      </c>
      <c r="E314" s="415" t="s">
        <v>1716</v>
      </c>
      <c r="F314" s="444">
        <v>2</v>
      </c>
      <c r="G314" s="415" t="s">
        <v>1661</v>
      </c>
      <c r="H314" s="444">
        <v>11</v>
      </c>
      <c r="I314" s="417" t="s">
        <v>1683</v>
      </c>
      <c r="J314" s="444">
        <v>2.8</v>
      </c>
      <c r="K314" s="444">
        <v>852</v>
      </c>
      <c r="L314" s="444">
        <v>0</v>
      </c>
      <c r="M314" s="444">
        <v>23</v>
      </c>
      <c r="N314" s="444">
        <v>233</v>
      </c>
      <c r="O314" s="444">
        <v>0</v>
      </c>
      <c r="P314" s="444">
        <v>0</v>
      </c>
      <c r="Q314" s="444">
        <v>14</v>
      </c>
      <c r="R314" s="444">
        <v>50</v>
      </c>
      <c r="S314" s="444">
        <v>22</v>
      </c>
      <c r="T314" s="444">
        <v>128</v>
      </c>
      <c r="U314" s="444">
        <v>17</v>
      </c>
      <c r="V314" s="444">
        <v>18</v>
      </c>
      <c r="W314" s="444">
        <v>89</v>
      </c>
      <c r="X314" s="418"/>
      <c r="Y314" s="445"/>
      <c r="Z314" s="420"/>
      <c r="AA314" s="421">
        <v>83.266999999999996</v>
      </c>
      <c r="AB314" s="421">
        <v>37.097000000000001</v>
      </c>
      <c r="AC314" s="454">
        <v>46</v>
      </c>
      <c r="AE314" s="419" t="s">
        <v>2206</v>
      </c>
      <c r="AF314" s="454">
        <v>1</v>
      </c>
      <c r="AG314" s="429">
        <v>43101</v>
      </c>
      <c r="AJ314" s="430">
        <v>43231</v>
      </c>
      <c r="AL314" s="424" t="s">
        <v>929</v>
      </c>
      <c r="AO314" s="445"/>
      <c r="AP314" s="454">
        <v>556618</v>
      </c>
      <c r="AQ314" s="431">
        <v>43077</v>
      </c>
      <c r="AT314" s="426"/>
      <c r="AU314" s="426"/>
      <c r="AV314" s="426"/>
      <c r="AY314" s="427" t="s">
        <v>1720</v>
      </c>
      <c r="AZ314" s="373"/>
      <c r="BB314" s="374" t="s">
        <v>1726</v>
      </c>
      <c r="BC314" s="445"/>
      <c r="BE314" s="448">
        <v>10</v>
      </c>
      <c r="BF314" s="449">
        <v>40</v>
      </c>
      <c r="BG314" s="428" t="s">
        <v>1764</v>
      </c>
      <c r="BH314" s="445"/>
      <c r="BI314" s="491"/>
      <c r="BJ314" s="491">
        <v>1</v>
      </c>
      <c r="BK314" s="445" t="s">
        <v>3060</v>
      </c>
      <c r="BL314" s="419" t="s">
        <v>3061</v>
      </c>
      <c r="BM314" s="445"/>
      <c r="BN314" s="419" t="s">
        <v>1765</v>
      </c>
      <c r="BO314" s="419" t="s">
        <v>1765</v>
      </c>
      <c r="BP314" s="419" t="s">
        <v>1765</v>
      </c>
      <c r="BQ314" s="419" t="s">
        <v>31</v>
      </c>
      <c r="BR314" s="419"/>
      <c r="BS314" s="419"/>
      <c r="BT314" s="445"/>
      <c r="BU314" s="445"/>
      <c r="BV314" s="445"/>
      <c r="BW314" s="445" t="s">
        <v>2205</v>
      </c>
      <c r="BX314" s="445"/>
      <c r="BY314" s="445"/>
    </row>
    <row r="315" spans="1:77" ht="15">
      <c r="A315" s="370" t="s">
        <v>31</v>
      </c>
      <c r="B315" s="415" t="s">
        <v>216</v>
      </c>
      <c r="C315" s="416" t="s">
        <v>31</v>
      </c>
      <c r="D315" s="444">
        <v>0</v>
      </c>
      <c r="E315" s="415" t="s">
        <v>1716</v>
      </c>
      <c r="F315" s="444">
        <v>5</v>
      </c>
      <c r="G315" s="415" t="s">
        <v>1661</v>
      </c>
      <c r="H315" s="444">
        <v>136</v>
      </c>
      <c r="I315" s="417" t="s">
        <v>2207</v>
      </c>
      <c r="J315" s="444">
        <v>2.5</v>
      </c>
      <c r="K315" s="444">
        <v>1544</v>
      </c>
      <c r="L315" s="444">
        <v>0</v>
      </c>
      <c r="M315" s="444">
        <v>0</v>
      </c>
      <c r="N315" s="444">
        <v>2</v>
      </c>
      <c r="O315" s="444">
        <v>0</v>
      </c>
      <c r="P315" s="444">
        <v>0</v>
      </c>
      <c r="Q315" s="444">
        <v>0</v>
      </c>
      <c r="R315" s="444">
        <v>0</v>
      </c>
      <c r="S315" s="444">
        <v>2</v>
      </c>
      <c r="T315" s="444">
        <v>153</v>
      </c>
      <c r="U315" s="444">
        <v>0</v>
      </c>
      <c r="V315" s="444">
        <v>4</v>
      </c>
      <c r="W315" s="444">
        <v>276</v>
      </c>
      <c r="X315" s="418"/>
      <c r="Y315" s="445"/>
      <c r="Z315" s="420"/>
      <c r="AA315" s="421">
        <v>145.74100000000001</v>
      </c>
      <c r="AB315" s="421">
        <v>42.738999999999997</v>
      </c>
      <c r="AC315" s="454">
        <v>57</v>
      </c>
      <c r="AE315" s="419" t="s">
        <v>2208</v>
      </c>
      <c r="AF315" s="454">
        <v>1</v>
      </c>
      <c r="AG315" s="429">
        <v>43101</v>
      </c>
      <c r="AJ315" s="430">
        <v>43235</v>
      </c>
      <c r="AL315" s="424" t="s">
        <v>1019</v>
      </c>
      <c r="AO315" s="445"/>
      <c r="AP315" s="454">
        <v>556618</v>
      </c>
      <c r="AQ315" s="431">
        <v>43077</v>
      </c>
      <c r="AT315" s="426"/>
      <c r="AU315" s="426"/>
      <c r="AV315" s="426"/>
      <c r="AY315" s="427" t="s">
        <v>1720</v>
      </c>
      <c r="AZ315" s="373"/>
      <c r="BB315" s="374" t="s">
        <v>1726</v>
      </c>
      <c r="BC315" s="445"/>
      <c r="BE315" s="448">
        <v>5</v>
      </c>
      <c r="BF315" s="449">
        <v>20</v>
      </c>
      <c r="BG315" s="428" t="s">
        <v>1764</v>
      </c>
      <c r="BH315" s="445"/>
      <c r="BI315" s="491"/>
      <c r="BJ315" s="491">
        <v>11</v>
      </c>
      <c r="BK315" s="445" t="s">
        <v>3062</v>
      </c>
      <c r="BL315" s="419" t="s">
        <v>3063</v>
      </c>
      <c r="BM315" s="445"/>
      <c r="BN315" s="419" t="s">
        <v>1766</v>
      </c>
      <c r="BO315" s="419" t="s">
        <v>1766</v>
      </c>
      <c r="BP315" s="419" t="s">
        <v>1766</v>
      </c>
      <c r="BQ315" s="419" t="s">
        <v>31</v>
      </c>
      <c r="BR315" s="419"/>
      <c r="BS315" s="419"/>
      <c r="BT315" s="445"/>
      <c r="BU315" s="445"/>
      <c r="BV315" s="445"/>
      <c r="BW315" s="445" t="s">
        <v>2209</v>
      </c>
      <c r="BX315" s="445"/>
      <c r="BY315" s="445"/>
    </row>
    <row r="316" spans="1:77" ht="15">
      <c r="A316" s="370" t="s">
        <v>1783</v>
      </c>
      <c r="B316" s="415" t="s">
        <v>216</v>
      </c>
      <c r="C316" s="416" t="s">
        <v>1784</v>
      </c>
      <c r="D316" s="444">
        <v>0</v>
      </c>
      <c r="E316" s="415" t="s">
        <v>1716</v>
      </c>
      <c r="F316" s="444">
        <v>3</v>
      </c>
      <c r="G316" s="415" t="s">
        <v>1750</v>
      </c>
      <c r="H316" s="444">
        <v>105</v>
      </c>
      <c r="I316" s="417" t="s">
        <v>1632</v>
      </c>
      <c r="J316" s="444">
        <v>1.4</v>
      </c>
      <c r="K316" s="444">
        <v>0</v>
      </c>
      <c r="L316" s="444"/>
      <c r="M316" s="444">
        <v>0</v>
      </c>
      <c r="N316" s="444">
        <v>180</v>
      </c>
      <c r="O316" s="444"/>
      <c r="P316" s="444"/>
      <c r="Q316" s="444">
        <v>0</v>
      </c>
      <c r="R316" s="444"/>
      <c r="S316" s="444">
        <v>0</v>
      </c>
      <c r="T316" s="444">
        <v>0</v>
      </c>
      <c r="U316" s="444"/>
      <c r="V316" s="444">
        <v>0</v>
      </c>
      <c r="W316" s="444">
        <v>0</v>
      </c>
      <c r="X316" s="418"/>
      <c r="Y316" s="445"/>
      <c r="Z316" s="420"/>
      <c r="AA316" s="421">
        <v>185.61</v>
      </c>
      <c r="AB316" s="421"/>
      <c r="AC316" s="454">
        <v>23</v>
      </c>
      <c r="AE316" s="419" t="s">
        <v>2210</v>
      </c>
      <c r="AF316" s="454">
        <v>1</v>
      </c>
      <c r="AG316" s="429">
        <v>43101</v>
      </c>
      <c r="AJ316" s="430">
        <v>43222</v>
      </c>
      <c r="AL316" s="424" t="s">
        <v>2071</v>
      </c>
      <c r="AO316" s="445"/>
      <c r="AP316" s="454">
        <v>556665</v>
      </c>
      <c r="AQ316" s="431">
        <v>43192</v>
      </c>
      <c r="AR316" s="370">
        <v>0.3</v>
      </c>
      <c r="AT316" s="426"/>
      <c r="AU316" s="426"/>
      <c r="AV316" s="426"/>
      <c r="AY316" s="427" t="s">
        <v>1720</v>
      </c>
      <c r="AZ316" s="373"/>
      <c r="BB316" s="374" t="s">
        <v>1726</v>
      </c>
      <c r="BC316" s="445"/>
      <c r="BE316" s="448"/>
      <c r="BF316" s="449"/>
      <c r="BG316" s="428"/>
      <c r="BH316" s="445"/>
      <c r="BI316" s="491"/>
      <c r="BJ316" s="491">
        <v>21</v>
      </c>
      <c r="BK316" s="445" t="s">
        <v>3064</v>
      </c>
      <c r="BL316" s="419" t="s">
        <v>3065</v>
      </c>
      <c r="BM316" s="445"/>
      <c r="BN316" s="419"/>
      <c r="BO316" s="419"/>
      <c r="BP316" s="419"/>
      <c r="BQ316" s="419" t="s">
        <v>1783</v>
      </c>
      <c r="BR316" s="419">
        <v>2</v>
      </c>
      <c r="BS316" s="419"/>
      <c r="BT316" s="445"/>
      <c r="BU316" s="445"/>
      <c r="BV316" s="445"/>
      <c r="BW316" s="445" t="s">
        <v>2209</v>
      </c>
      <c r="BX316" s="445"/>
      <c r="BY316" s="445"/>
    </row>
    <row r="317" spans="1:77" ht="15">
      <c r="A317" s="370" t="s">
        <v>1783</v>
      </c>
      <c r="B317" s="415" t="s">
        <v>296</v>
      </c>
      <c r="C317" s="416" t="s">
        <v>1784</v>
      </c>
      <c r="D317" s="444">
        <v>0</v>
      </c>
      <c r="E317" s="415" t="s">
        <v>1716</v>
      </c>
      <c r="F317" s="444">
        <v>3</v>
      </c>
      <c r="G317" s="415" t="s">
        <v>1750</v>
      </c>
      <c r="H317" s="444">
        <v>103</v>
      </c>
      <c r="I317" s="417" t="s">
        <v>1632</v>
      </c>
      <c r="J317" s="444">
        <v>1.8</v>
      </c>
      <c r="K317" s="444">
        <v>0</v>
      </c>
      <c r="L317" s="444"/>
      <c r="M317" s="444">
        <v>0</v>
      </c>
      <c r="N317" s="444">
        <v>0</v>
      </c>
      <c r="O317" s="444"/>
      <c r="P317" s="444"/>
      <c r="Q317" s="444">
        <v>66.67</v>
      </c>
      <c r="R317" s="444"/>
      <c r="S317" s="444">
        <v>0</v>
      </c>
      <c r="T317" s="444">
        <v>225</v>
      </c>
      <c r="U317" s="444"/>
      <c r="V317" s="444">
        <v>0</v>
      </c>
      <c r="W317" s="444">
        <v>0</v>
      </c>
      <c r="X317" s="418"/>
      <c r="Y317" s="445"/>
      <c r="Z317" s="420"/>
      <c r="AA317" s="421">
        <v>112.25</v>
      </c>
      <c r="AB317" s="421"/>
      <c r="AC317" s="454">
        <v>23</v>
      </c>
      <c r="AE317" s="419" t="s">
        <v>2194</v>
      </c>
      <c r="AF317" s="454">
        <v>1</v>
      </c>
      <c r="AG317" s="429">
        <v>43101</v>
      </c>
      <c r="AJ317" s="430">
        <v>43222</v>
      </c>
      <c r="AL317" s="424" t="s">
        <v>1027</v>
      </c>
      <c r="AO317" s="445"/>
      <c r="AP317" s="454">
        <v>556627</v>
      </c>
      <c r="AQ317" s="431">
        <v>43102</v>
      </c>
      <c r="AR317" s="370">
        <v>0.5</v>
      </c>
      <c r="AT317" s="426"/>
      <c r="AU317" s="426"/>
      <c r="AV317" s="426"/>
      <c r="AY317" s="427" t="s">
        <v>1722</v>
      </c>
      <c r="AZ317" s="373"/>
      <c r="BB317" s="374" t="s">
        <v>1728</v>
      </c>
      <c r="BC317" s="445"/>
      <c r="BE317" s="448"/>
      <c r="BF317" s="449"/>
      <c r="BG317" s="428"/>
      <c r="BH317" s="445"/>
      <c r="BI317" s="491"/>
      <c r="BJ317" s="491">
        <v>9</v>
      </c>
      <c r="BK317" s="445" t="s">
        <v>3050</v>
      </c>
      <c r="BL317" s="419" t="s">
        <v>3051</v>
      </c>
      <c r="BM317" s="445"/>
      <c r="BN317" s="419"/>
      <c r="BO317" s="419"/>
      <c r="BP317" s="419"/>
      <c r="BQ317" s="419" t="s">
        <v>1783</v>
      </c>
      <c r="BR317" s="419">
        <v>2</v>
      </c>
      <c r="BS317" s="419"/>
      <c r="BT317" s="445"/>
      <c r="BU317" s="445"/>
      <c r="BV317" s="445"/>
      <c r="BW317" s="445" t="s">
        <v>2209</v>
      </c>
      <c r="BX317" s="445"/>
      <c r="BY317" s="445"/>
    </row>
    <row r="318" spans="1:77" ht="15">
      <c r="A318" s="370" t="s">
        <v>31</v>
      </c>
      <c r="B318" s="415" t="s">
        <v>216</v>
      </c>
      <c r="C318" s="416" t="s">
        <v>31</v>
      </c>
      <c r="D318" s="444">
        <v>0</v>
      </c>
      <c r="E318" s="415" t="s">
        <v>1716</v>
      </c>
      <c r="F318" s="444">
        <v>2</v>
      </c>
      <c r="G318" s="415" t="s">
        <v>1661</v>
      </c>
      <c r="H318" s="444">
        <v>20</v>
      </c>
      <c r="I318" s="417" t="s">
        <v>1423</v>
      </c>
      <c r="J318" s="444">
        <v>1.6</v>
      </c>
      <c r="K318" s="444">
        <v>627</v>
      </c>
      <c r="L318" s="444">
        <v>0</v>
      </c>
      <c r="M318" s="444">
        <v>18</v>
      </c>
      <c r="N318" s="444">
        <v>174</v>
      </c>
      <c r="O318" s="444">
        <v>0</v>
      </c>
      <c r="P318" s="444">
        <v>0</v>
      </c>
      <c r="Q318" s="444">
        <v>14</v>
      </c>
      <c r="R318" s="444">
        <v>20</v>
      </c>
      <c r="S318" s="444">
        <v>25</v>
      </c>
      <c r="T318" s="444">
        <v>99</v>
      </c>
      <c r="U318" s="444">
        <v>6</v>
      </c>
      <c r="V318" s="444">
        <v>21</v>
      </c>
      <c r="W318" s="444">
        <v>68</v>
      </c>
      <c r="X318" s="418"/>
      <c r="Y318" s="445"/>
      <c r="Z318" s="420"/>
      <c r="AA318" s="421">
        <v>75.989999999999995</v>
      </c>
      <c r="AB318" s="421">
        <v>35.905000000000001</v>
      </c>
      <c r="AC318" s="454">
        <v>0</v>
      </c>
      <c r="AE318" s="419" t="s">
        <v>1894</v>
      </c>
      <c r="AF318" s="454">
        <v>1</v>
      </c>
      <c r="AG318" s="429">
        <v>43101</v>
      </c>
      <c r="AJ318" s="430">
        <v>43109</v>
      </c>
      <c r="AL318" s="424" t="s">
        <v>929</v>
      </c>
      <c r="AO318" s="445"/>
      <c r="AP318" s="454">
        <v>556618</v>
      </c>
      <c r="AQ318" s="431" t="s">
        <v>1719</v>
      </c>
      <c r="AT318" s="426"/>
      <c r="AU318" s="426"/>
      <c r="AV318" s="426"/>
      <c r="AY318" s="427" t="s">
        <v>1720</v>
      </c>
      <c r="AZ318" s="373"/>
      <c r="BB318" s="374" t="s">
        <v>1726</v>
      </c>
      <c r="BC318" s="445"/>
      <c r="BE318" s="448">
        <v>5</v>
      </c>
      <c r="BF318" s="449">
        <v>40</v>
      </c>
      <c r="BG318" s="428" t="s">
        <v>1764</v>
      </c>
      <c r="BH318" s="445"/>
      <c r="BI318" s="491"/>
      <c r="BJ318" s="491">
        <v>4</v>
      </c>
      <c r="BK318" s="445" t="s">
        <v>1895</v>
      </c>
      <c r="BL318" s="419" t="s">
        <v>2679</v>
      </c>
      <c r="BM318" s="445"/>
      <c r="BN318" s="419" t="s">
        <v>1765</v>
      </c>
      <c r="BO318" s="419" t="s">
        <v>1765</v>
      </c>
      <c r="BP318" s="419" t="s">
        <v>1765</v>
      </c>
      <c r="BQ318" s="419" t="s">
        <v>31</v>
      </c>
      <c r="BR318" s="419"/>
      <c r="BS318" s="419"/>
      <c r="BT318" s="445"/>
      <c r="BU318" s="445"/>
      <c r="BV318" s="445"/>
      <c r="BW318" s="445" t="s">
        <v>2209</v>
      </c>
      <c r="BX318" s="445"/>
      <c r="BY318" s="445"/>
    </row>
    <row r="319" spans="1:77" ht="15">
      <c r="A319" s="370" t="s">
        <v>1269</v>
      </c>
      <c r="B319" s="415" t="s">
        <v>132</v>
      </c>
      <c r="C319" s="416" t="s">
        <v>1693</v>
      </c>
      <c r="D319" s="444">
        <v>0</v>
      </c>
      <c r="E319" s="415" t="s">
        <v>1718</v>
      </c>
      <c r="F319" s="444">
        <v>3</v>
      </c>
      <c r="G319" s="415" t="s">
        <v>1750</v>
      </c>
      <c r="H319" s="444">
        <v>18</v>
      </c>
      <c r="I319" s="417" t="s">
        <v>1659</v>
      </c>
      <c r="J319" s="444">
        <v>3.1</v>
      </c>
      <c r="K319" s="444">
        <v>310</v>
      </c>
      <c r="L319" s="444"/>
      <c r="M319" s="444"/>
      <c r="N319" s="444"/>
      <c r="O319" s="444"/>
      <c r="P319" s="444"/>
      <c r="Q319" s="444"/>
      <c r="R319" s="444"/>
      <c r="S319" s="444"/>
      <c r="T319" s="444">
        <v>17</v>
      </c>
      <c r="U319" s="444"/>
      <c r="V319" s="444"/>
      <c r="W319" s="444">
        <v>0</v>
      </c>
      <c r="X319" s="418"/>
      <c r="Y319" s="445"/>
      <c r="Z319" s="420"/>
      <c r="AA319" s="421">
        <v>247.60300000000001</v>
      </c>
      <c r="AB319" s="421"/>
      <c r="AC319" s="454">
        <v>70</v>
      </c>
      <c r="AE319" s="419" t="s">
        <v>2213</v>
      </c>
      <c r="AF319" s="454">
        <v>1</v>
      </c>
      <c r="AG319" s="429">
        <v>43101</v>
      </c>
      <c r="AJ319" s="430">
        <v>43252</v>
      </c>
      <c r="AL319" s="424" t="s">
        <v>926</v>
      </c>
      <c r="AO319" s="445"/>
      <c r="AP319" s="454">
        <v>556634</v>
      </c>
      <c r="AQ319" s="431">
        <v>43102</v>
      </c>
      <c r="AT319" s="426"/>
      <c r="AU319" s="426"/>
      <c r="AV319" s="426"/>
      <c r="AY319" s="427" t="s">
        <v>1559</v>
      </c>
      <c r="AZ319" s="373"/>
      <c r="BB319" s="374" t="s">
        <v>2214</v>
      </c>
      <c r="BC319" s="445"/>
      <c r="BE319" s="448"/>
      <c r="BF319" s="449"/>
      <c r="BG319" s="428"/>
      <c r="BH319" s="445"/>
      <c r="BI319" s="491"/>
      <c r="BJ319" s="491">
        <v>6</v>
      </c>
      <c r="BK319" s="445" t="s">
        <v>1847</v>
      </c>
      <c r="BL319" s="419" t="s">
        <v>2653</v>
      </c>
      <c r="BM319" s="445"/>
      <c r="BN319" s="419"/>
      <c r="BO319" s="419"/>
      <c r="BP319" s="419"/>
      <c r="BQ319" s="419" t="s">
        <v>1269</v>
      </c>
      <c r="BR319" s="419"/>
      <c r="BS319" s="419"/>
      <c r="BT319" s="445"/>
      <c r="BU319" s="445"/>
      <c r="BV319" s="445"/>
      <c r="BW319" s="445" t="s">
        <v>2209</v>
      </c>
      <c r="BX319" s="445"/>
      <c r="BY319" s="445"/>
    </row>
    <row r="320" spans="1:77" ht="15">
      <c r="A320" s="370" t="s">
        <v>1269</v>
      </c>
      <c r="B320" s="415" t="s">
        <v>132</v>
      </c>
      <c r="C320" s="416" t="s">
        <v>1693</v>
      </c>
      <c r="D320" s="444">
        <v>0</v>
      </c>
      <c r="E320" s="415" t="s">
        <v>1718</v>
      </c>
      <c r="F320" s="444">
        <v>3</v>
      </c>
      <c r="G320" s="415" t="s">
        <v>1750</v>
      </c>
      <c r="H320" s="444">
        <v>79</v>
      </c>
      <c r="I320" s="417" t="s">
        <v>1659</v>
      </c>
      <c r="J320" s="444">
        <v>2.5</v>
      </c>
      <c r="K320" s="444">
        <v>383</v>
      </c>
      <c r="L320" s="444"/>
      <c r="M320" s="444"/>
      <c r="N320" s="444"/>
      <c r="O320" s="444"/>
      <c r="P320" s="444"/>
      <c r="Q320" s="444"/>
      <c r="R320" s="444"/>
      <c r="S320" s="444"/>
      <c r="T320" s="444"/>
      <c r="U320" s="444"/>
      <c r="V320" s="444"/>
      <c r="W320" s="444">
        <v>28</v>
      </c>
      <c r="X320" s="418"/>
      <c r="Y320" s="445"/>
      <c r="Z320" s="420"/>
      <c r="AA320" s="421">
        <v>213.04900000000001</v>
      </c>
      <c r="AB320" s="421"/>
      <c r="AC320" s="454">
        <v>4</v>
      </c>
      <c r="AE320" s="419" t="s">
        <v>2215</v>
      </c>
      <c r="AF320" s="454">
        <v>1</v>
      </c>
      <c r="AG320" s="429">
        <v>43101</v>
      </c>
      <c r="AJ320" s="430">
        <v>43252</v>
      </c>
      <c r="AL320" s="424" t="s">
        <v>916</v>
      </c>
      <c r="AO320" s="445"/>
      <c r="AP320" s="454">
        <v>556634</v>
      </c>
      <c r="AQ320" s="431">
        <v>43102</v>
      </c>
      <c r="AT320" s="426"/>
      <c r="AU320" s="426"/>
      <c r="AV320" s="426"/>
      <c r="AY320" s="427" t="s">
        <v>1559</v>
      </c>
      <c r="AZ320" s="373"/>
      <c r="BB320" s="374" t="s">
        <v>2214</v>
      </c>
      <c r="BC320" s="445"/>
      <c r="BE320" s="448"/>
      <c r="BF320" s="449"/>
      <c r="BG320" s="428"/>
      <c r="BH320" s="445"/>
      <c r="BI320" s="491"/>
      <c r="BJ320" s="491">
        <v>5</v>
      </c>
      <c r="BK320" s="445" t="s">
        <v>1845</v>
      </c>
      <c r="BL320" s="419" t="s">
        <v>3066</v>
      </c>
      <c r="BM320" s="445"/>
      <c r="BN320" s="419"/>
      <c r="BO320" s="419"/>
      <c r="BP320" s="419"/>
      <c r="BQ320" s="419" t="s">
        <v>1269</v>
      </c>
      <c r="BR320" s="419"/>
      <c r="BS320" s="419"/>
      <c r="BT320" s="445"/>
      <c r="BU320" s="445"/>
      <c r="BV320" s="445"/>
      <c r="BW320" s="445" t="s">
        <v>2209</v>
      </c>
      <c r="BX320" s="445"/>
      <c r="BY320" s="445"/>
    </row>
    <row r="321" spans="1:77" ht="15">
      <c r="A321" s="370" t="s">
        <v>1269</v>
      </c>
      <c r="B321" s="415" t="s">
        <v>132</v>
      </c>
      <c r="C321" s="416" t="s">
        <v>1619</v>
      </c>
      <c r="D321" s="444">
        <v>0</v>
      </c>
      <c r="E321" s="415" t="s">
        <v>1716</v>
      </c>
      <c r="F321" s="444">
        <v>3</v>
      </c>
      <c r="G321" s="415" t="s">
        <v>1661</v>
      </c>
      <c r="H321" s="444">
        <v>44</v>
      </c>
      <c r="I321" s="417" t="s">
        <v>1687</v>
      </c>
      <c r="J321" s="444">
        <v>5.5</v>
      </c>
      <c r="K321" s="444">
        <v>539</v>
      </c>
      <c r="L321" s="444">
        <v>0</v>
      </c>
      <c r="M321" s="444">
        <v>0</v>
      </c>
      <c r="N321" s="444">
        <v>68</v>
      </c>
      <c r="O321" s="444">
        <v>0</v>
      </c>
      <c r="P321" s="444">
        <v>0</v>
      </c>
      <c r="Q321" s="444">
        <v>0</v>
      </c>
      <c r="R321" s="444">
        <v>0</v>
      </c>
      <c r="S321" s="444">
        <v>0</v>
      </c>
      <c r="T321" s="444">
        <v>0</v>
      </c>
      <c r="U321" s="444">
        <v>0</v>
      </c>
      <c r="V321" s="444">
        <v>0</v>
      </c>
      <c r="W321" s="444">
        <v>201</v>
      </c>
      <c r="X321" s="418"/>
      <c r="Y321" s="445"/>
      <c r="Z321" s="420"/>
      <c r="AA321" s="421">
        <v>71.66</v>
      </c>
      <c r="AB321" s="421">
        <v>29.978000000000002</v>
      </c>
      <c r="AC321" s="454">
        <v>20</v>
      </c>
      <c r="AE321" s="419" t="s">
        <v>2217</v>
      </c>
      <c r="AF321" s="454">
        <v>1</v>
      </c>
      <c r="AG321" s="429">
        <v>43101</v>
      </c>
      <c r="AJ321" s="430">
        <v>43252</v>
      </c>
      <c r="AL321" s="424" t="s">
        <v>924</v>
      </c>
      <c r="AO321" s="445"/>
      <c r="AP321" s="454">
        <v>556635</v>
      </c>
      <c r="AQ321" s="431">
        <v>43102</v>
      </c>
      <c r="AT321" s="426"/>
      <c r="AU321" s="426"/>
      <c r="AV321" s="426"/>
      <c r="AY321" s="427" t="s">
        <v>1559</v>
      </c>
      <c r="AZ321" s="373"/>
      <c r="BB321" s="374" t="s">
        <v>2214</v>
      </c>
      <c r="BC321" s="445"/>
      <c r="BE321" s="448">
        <v>0</v>
      </c>
      <c r="BF321" s="449">
        <v>0</v>
      </c>
      <c r="BG321" s="428" t="s">
        <v>1764</v>
      </c>
      <c r="BH321" s="445"/>
      <c r="BI321" s="491"/>
      <c r="BJ321" s="491">
        <v>23</v>
      </c>
      <c r="BK321" s="445" t="s">
        <v>2922</v>
      </c>
      <c r="BL321" s="419" t="s">
        <v>2923</v>
      </c>
      <c r="BM321" s="445"/>
      <c r="BN321" s="419" t="s">
        <v>1765</v>
      </c>
      <c r="BO321" s="419" t="s">
        <v>1765</v>
      </c>
      <c r="BP321" s="419" t="s">
        <v>1765</v>
      </c>
      <c r="BQ321" s="419" t="s">
        <v>1269</v>
      </c>
      <c r="BR321" s="419"/>
      <c r="BS321" s="419"/>
      <c r="BT321" s="445"/>
      <c r="BU321" s="445"/>
      <c r="BV321" s="445"/>
      <c r="BW321" s="445" t="s">
        <v>2209</v>
      </c>
      <c r="BX321" s="445"/>
      <c r="BY321" s="445"/>
    </row>
    <row r="322" spans="1:77" ht="15">
      <c r="A322" s="370" t="s">
        <v>1269</v>
      </c>
      <c r="B322" s="415" t="s">
        <v>132</v>
      </c>
      <c r="C322" s="416" t="s">
        <v>1619</v>
      </c>
      <c r="D322" s="444">
        <v>0</v>
      </c>
      <c r="E322" s="415" t="s">
        <v>1716</v>
      </c>
      <c r="F322" s="444">
        <v>3</v>
      </c>
      <c r="G322" s="415" t="s">
        <v>1661</v>
      </c>
      <c r="H322" s="444">
        <v>53</v>
      </c>
      <c r="I322" s="417" t="s">
        <v>1692</v>
      </c>
      <c r="J322" s="444">
        <v>8.1</v>
      </c>
      <c r="K322" s="444">
        <v>589</v>
      </c>
      <c r="L322" s="444">
        <v>0</v>
      </c>
      <c r="M322" s="444">
        <v>0</v>
      </c>
      <c r="N322" s="444">
        <v>73</v>
      </c>
      <c r="O322" s="444">
        <v>0</v>
      </c>
      <c r="P322" s="444">
        <v>0</v>
      </c>
      <c r="Q322" s="444">
        <v>0</v>
      </c>
      <c r="R322" s="444">
        <v>0</v>
      </c>
      <c r="S322" s="444">
        <v>0</v>
      </c>
      <c r="T322" s="444">
        <v>0</v>
      </c>
      <c r="U322" s="444">
        <v>0</v>
      </c>
      <c r="V322" s="444">
        <v>0</v>
      </c>
      <c r="W322" s="444">
        <v>290</v>
      </c>
      <c r="X322" s="418"/>
      <c r="Y322" s="445"/>
      <c r="Z322" s="420"/>
      <c r="AA322" s="421">
        <v>69.978999999999999</v>
      </c>
      <c r="AB322" s="421">
        <v>29.978000000000002</v>
      </c>
      <c r="AC322" s="454">
        <v>26</v>
      </c>
      <c r="AE322" s="419" t="s">
        <v>2218</v>
      </c>
      <c r="AF322" s="454">
        <v>1</v>
      </c>
      <c r="AG322" s="429">
        <v>43101</v>
      </c>
      <c r="AJ322" s="430">
        <v>43252</v>
      </c>
      <c r="AL322" s="424" t="s">
        <v>1012</v>
      </c>
      <c r="AO322" s="445"/>
      <c r="AP322" s="454">
        <v>556635</v>
      </c>
      <c r="AQ322" s="431">
        <v>43102</v>
      </c>
      <c r="AT322" s="426"/>
      <c r="AU322" s="426"/>
      <c r="AV322" s="426"/>
      <c r="AY322" s="427" t="s">
        <v>1559</v>
      </c>
      <c r="AZ322" s="373"/>
      <c r="BB322" s="374" t="s">
        <v>2214</v>
      </c>
      <c r="BC322" s="445"/>
      <c r="BE322" s="448">
        <v>0</v>
      </c>
      <c r="BF322" s="449">
        <v>0</v>
      </c>
      <c r="BG322" s="428" t="s">
        <v>1764</v>
      </c>
      <c r="BH322" s="445"/>
      <c r="BI322" s="491"/>
      <c r="BJ322" s="491">
        <v>26</v>
      </c>
      <c r="BK322" s="445" t="s">
        <v>2924</v>
      </c>
      <c r="BL322" s="419" t="s">
        <v>2925</v>
      </c>
      <c r="BM322" s="445"/>
      <c r="BN322" s="419" t="s">
        <v>1765</v>
      </c>
      <c r="BO322" s="419" t="s">
        <v>1765</v>
      </c>
      <c r="BP322" s="419" t="s">
        <v>1765</v>
      </c>
      <c r="BQ322" s="419" t="s">
        <v>1269</v>
      </c>
      <c r="BR322" s="419"/>
      <c r="BS322" s="419"/>
      <c r="BT322" s="445"/>
      <c r="BU322" s="445"/>
      <c r="BV322" s="445"/>
      <c r="BW322" s="445" t="s">
        <v>2209</v>
      </c>
      <c r="BX322" s="445"/>
      <c r="BY322" s="445"/>
    </row>
    <row r="323" spans="1:77" ht="15">
      <c r="A323" s="370" t="s">
        <v>1269</v>
      </c>
      <c r="B323" s="415" t="s">
        <v>132</v>
      </c>
      <c r="C323" s="416" t="s">
        <v>1682</v>
      </c>
      <c r="D323" s="444">
        <v>0</v>
      </c>
      <c r="E323" s="415" t="s">
        <v>1716</v>
      </c>
      <c r="F323" s="444">
        <v>3</v>
      </c>
      <c r="G323" s="415" t="s">
        <v>1661</v>
      </c>
      <c r="H323" s="444">
        <v>56</v>
      </c>
      <c r="I323" s="417" t="s">
        <v>1632</v>
      </c>
      <c r="J323" s="444">
        <v>9.6999999999999993</v>
      </c>
      <c r="K323" s="444">
        <v>651</v>
      </c>
      <c r="L323" s="444">
        <v>0</v>
      </c>
      <c r="M323" s="444">
        <v>0</v>
      </c>
      <c r="N323" s="444">
        <v>7</v>
      </c>
      <c r="O323" s="444">
        <v>0</v>
      </c>
      <c r="P323" s="444">
        <v>0</v>
      </c>
      <c r="Q323" s="444">
        <v>0</v>
      </c>
      <c r="R323" s="444">
        <v>0</v>
      </c>
      <c r="S323" s="444">
        <v>0</v>
      </c>
      <c r="T323" s="444">
        <v>0</v>
      </c>
      <c r="U323" s="444">
        <v>13</v>
      </c>
      <c r="V323" s="444">
        <v>0</v>
      </c>
      <c r="W323" s="444">
        <v>244</v>
      </c>
      <c r="X323" s="418"/>
      <c r="Y323" s="445"/>
      <c r="Z323" s="420"/>
      <c r="AA323" s="421">
        <v>83.545000000000002</v>
      </c>
      <c r="AB323" s="421">
        <v>29.978000000000002</v>
      </c>
      <c r="AC323" s="454">
        <v>20</v>
      </c>
      <c r="AE323" s="419" t="s">
        <v>2219</v>
      </c>
      <c r="AF323" s="454">
        <v>1</v>
      </c>
      <c r="AG323" s="429">
        <v>43101</v>
      </c>
      <c r="AJ323" s="430">
        <v>43252</v>
      </c>
      <c r="AL323" s="424" t="s">
        <v>1012</v>
      </c>
      <c r="AO323" s="445"/>
      <c r="AP323" s="454">
        <v>556651</v>
      </c>
      <c r="AQ323" s="431">
        <v>43143</v>
      </c>
      <c r="AT323" s="426"/>
      <c r="AU323" s="426"/>
      <c r="AV323" s="426"/>
      <c r="AY323" s="427" t="s">
        <v>1559</v>
      </c>
      <c r="AZ323" s="373"/>
      <c r="BB323" s="374" t="s">
        <v>2214</v>
      </c>
      <c r="BC323" s="445"/>
      <c r="BE323" s="448">
        <v>0</v>
      </c>
      <c r="BF323" s="449">
        <v>0</v>
      </c>
      <c r="BG323" s="428" t="s">
        <v>1764</v>
      </c>
      <c r="BH323" s="445"/>
      <c r="BI323" s="491"/>
      <c r="BJ323" s="491">
        <v>15</v>
      </c>
      <c r="BK323" s="445" t="s">
        <v>2764</v>
      </c>
      <c r="BL323" s="419" t="s">
        <v>2765</v>
      </c>
      <c r="BM323" s="445"/>
      <c r="BN323" s="419" t="s">
        <v>1765</v>
      </c>
      <c r="BO323" s="419" t="s">
        <v>1765</v>
      </c>
      <c r="BP323" s="419" t="s">
        <v>1765</v>
      </c>
      <c r="BQ323" s="419" t="s">
        <v>1269</v>
      </c>
      <c r="BR323" s="419"/>
      <c r="BS323" s="419"/>
      <c r="BT323" s="445"/>
      <c r="BU323" s="445"/>
      <c r="BV323" s="445"/>
      <c r="BW323" s="445" t="s">
        <v>2209</v>
      </c>
      <c r="BX323" s="445"/>
      <c r="BY323" s="445"/>
    </row>
    <row r="324" spans="1:77" ht="15">
      <c r="A324" s="370" t="s">
        <v>1269</v>
      </c>
      <c r="B324" s="415" t="s">
        <v>132</v>
      </c>
      <c r="C324" s="416" t="s">
        <v>1682</v>
      </c>
      <c r="D324" s="444">
        <v>0</v>
      </c>
      <c r="E324" s="415" t="s">
        <v>1716</v>
      </c>
      <c r="F324" s="444">
        <v>3</v>
      </c>
      <c r="G324" s="415" t="s">
        <v>1661</v>
      </c>
      <c r="H324" s="444">
        <v>93</v>
      </c>
      <c r="I324" s="417" t="s">
        <v>1664</v>
      </c>
      <c r="J324" s="444">
        <v>10.1</v>
      </c>
      <c r="K324" s="444">
        <v>245</v>
      </c>
      <c r="L324" s="444">
        <v>0</v>
      </c>
      <c r="M324" s="444">
        <v>0</v>
      </c>
      <c r="N324" s="444">
        <v>0</v>
      </c>
      <c r="O324" s="444">
        <v>0</v>
      </c>
      <c r="P324" s="444">
        <v>0</v>
      </c>
      <c r="Q324" s="444">
        <v>0</v>
      </c>
      <c r="R324" s="444">
        <v>0</v>
      </c>
      <c r="S324" s="444">
        <v>0</v>
      </c>
      <c r="T324" s="444">
        <v>0</v>
      </c>
      <c r="U324" s="444">
        <v>0</v>
      </c>
      <c r="V324" s="444">
        <v>0</v>
      </c>
      <c r="W324" s="444">
        <v>70</v>
      </c>
      <c r="X324" s="418"/>
      <c r="Y324" s="445"/>
      <c r="Z324" s="420"/>
      <c r="AA324" s="421">
        <v>111.727</v>
      </c>
      <c r="AB324" s="421">
        <v>29.978000000000002</v>
      </c>
      <c r="AC324" s="454">
        <v>11</v>
      </c>
      <c r="AE324" s="419" t="s">
        <v>2220</v>
      </c>
      <c r="AF324" s="454">
        <v>1</v>
      </c>
      <c r="AG324" s="429">
        <v>43101</v>
      </c>
      <c r="AJ324" s="430">
        <v>43252</v>
      </c>
      <c r="AL324" s="424" t="s">
        <v>919</v>
      </c>
      <c r="AO324" s="445"/>
      <c r="AP324" s="454">
        <v>556651</v>
      </c>
      <c r="AQ324" s="431">
        <v>43143</v>
      </c>
      <c r="AT324" s="426"/>
      <c r="AU324" s="426"/>
      <c r="AV324" s="426"/>
      <c r="AY324" s="427" t="s">
        <v>1559</v>
      </c>
      <c r="AZ324" s="373"/>
      <c r="BB324" s="374" t="s">
        <v>2214</v>
      </c>
      <c r="BC324" s="445"/>
      <c r="BE324" s="448">
        <v>0</v>
      </c>
      <c r="BF324" s="449">
        <v>0</v>
      </c>
      <c r="BG324" s="428" t="s">
        <v>1764</v>
      </c>
      <c r="BH324" s="445"/>
      <c r="BI324" s="491"/>
      <c r="BJ324" s="491">
        <v>11</v>
      </c>
      <c r="BK324" s="445" t="s">
        <v>61</v>
      </c>
      <c r="BL324" s="419" t="s">
        <v>2766</v>
      </c>
      <c r="BM324" s="445"/>
      <c r="BN324" s="419" t="s">
        <v>1765</v>
      </c>
      <c r="BO324" s="419" t="s">
        <v>1765</v>
      </c>
      <c r="BP324" s="419" t="s">
        <v>1765</v>
      </c>
      <c r="BQ324" s="419" t="s">
        <v>1269</v>
      </c>
      <c r="BR324" s="419"/>
      <c r="BS324" s="419"/>
      <c r="BT324" s="445"/>
      <c r="BU324" s="445"/>
      <c r="BV324" s="445"/>
      <c r="BW324" s="445" t="s">
        <v>2209</v>
      </c>
      <c r="BX324" s="445"/>
      <c r="BY324" s="445"/>
    </row>
    <row r="325" spans="1:77" ht="15">
      <c r="A325" s="370" t="s">
        <v>1269</v>
      </c>
      <c r="B325" s="415" t="s">
        <v>132</v>
      </c>
      <c r="C325" s="416" t="s">
        <v>1682</v>
      </c>
      <c r="D325" s="444">
        <v>0</v>
      </c>
      <c r="E325" s="415" t="s">
        <v>1716</v>
      </c>
      <c r="F325" s="444">
        <v>3</v>
      </c>
      <c r="G325" s="415" t="s">
        <v>1661</v>
      </c>
      <c r="H325" s="444">
        <v>4</v>
      </c>
      <c r="I325" s="417" t="s">
        <v>1688</v>
      </c>
      <c r="J325" s="444">
        <v>2</v>
      </c>
      <c r="K325" s="444">
        <v>66</v>
      </c>
      <c r="L325" s="444">
        <v>0</v>
      </c>
      <c r="M325" s="444">
        <v>0</v>
      </c>
      <c r="N325" s="444">
        <v>1</v>
      </c>
      <c r="O325" s="444">
        <v>0</v>
      </c>
      <c r="P325" s="444">
        <v>0</v>
      </c>
      <c r="Q325" s="444">
        <v>0</v>
      </c>
      <c r="R325" s="444">
        <v>0</v>
      </c>
      <c r="S325" s="444">
        <v>0</v>
      </c>
      <c r="T325" s="444">
        <v>24</v>
      </c>
      <c r="U325" s="444">
        <v>0</v>
      </c>
      <c r="V325" s="444">
        <v>0</v>
      </c>
      <c r="W325" s="444">
        <v>0</v>
      </c>
      <c r="X325" s="418"/>
      <c r="Y325" s="445"/>
      <c r="Z325" s="420"/>
      <c r="AA325" s="421">
        <v>93.977999999999994</v>
      </c>
      <c r="AB325" s="421">
        <v>29.978000000000002</v>
      </c>
      <c r="AC325" s="454">
        <v>1</v>
      </c>
      <c r="AE325" s="419" t="s">
        <v>2221</v>
      </c>
      <c r="AF325" s="454">
        <v>1</v>
      </c>
      <c r="AG325" s="429">
        <v>43101</v>
      </c>
      <c r="AJ325" s="430">
        <v>43252</v>
      </c>
      <c r="AL325" s="424" t="s">
        <v>926</v>
      </c>
      <c r="AO325" s="445"/>
      <c r="AP325" s="454">
        <v>556645</v>
      </c>
      <c r="AQ325" s="431">
        <v>43122</v>
      </c>
      <c r="AT325" s="426"/>
      <c r="AU325" s="426"/>
      <c r="AV325" s="426"/>
      <c r="AY325" s="427" t="s">
        <v>1559</v>
      </c>
      <c r="AZ325" s="373"/>
      <c r="BB325" s="374" t="s">
        <v>2214</v>
      </c>
      <c r="BC325" s="445"/>
      <c r="BE325" s="448">
        <v>0</v>
      </c>
      <c r="BF325" s="449">
        <v>0</v>
      </c>
      <c r="BG325" s="428" t="s">
        <v>1764</v>
      </c>
      <c r="BH325" s="445"/>
      <c r="BI325" s="491"/>
      <c r="BJ325" s="491">
        <v>16</v>
      </c>
      <c r="BK325" s="445" t="s">
        <v>2858</v>
      </c>
      <c r="BL325" s="419" t="s">
        <v>2859</v>
      </c>
      <c r="BM325" s="445"/>
      <c r="BN325" s="419" t="s">
        <v>1765</v>
      </c>
      <c r="BO325" s="419" t="s">
        <v>1765</v>
      </c>
      <c r="BP325" s="419" t="s">
        <v>1765</v>
      </c>
      <c r="BQ325" s="419" t="s">
        <v>1269</v>
      </c>
      <c r="BR325" s="419"/>
      <c r="BS325" s="419"/>
      <c r="BT325" s="445"/>
      <c r="BU325" s="445"/>
      <c r="BV325" s="445"/>
      <c r="BW325" s="445" t="s">
        <v>2209</v>
      </c>
      <c r="BX325" s="445"/>
      <c r="BY325" s="445"/>
    </row>
    <row r="326" spans="1:77" ht="15">
      <c r="A326" s="370" t="s">
        <v>1269</v>
      </c>
      <c r="B326" s="415" t="s">
        <v>132</v>
      </c>
      <c r="C326" s="416" t="s">
        <v>1682</v>
      </c>
      <c r="D326" s="444">
        <v>0</v>
      </c>
      <c r="E326" s="415" t="s">
        <v>1716</v>
      </c>
      <c r="F326" s="444">
        <v>3</v>
      </c>
      <c r="G326" s="415" t="s">
        <v>1661</v>
      </c>
      <c r="H326" s="444">
        <v>4</v>
      </c>
      <c r="I326" s="417" t="s">
        <v>1686</v>
      </c>
      <c r="J326" s="444">
        <v>1.6</v>
      </c>
      <c r="K326" s="444">
        <v>61</v>
      </c>
      <c r="L326" s="444">
        <v>0</v>
      </c>
      <c r="M326" s="444">
        <v>0</v>
      </c>
      <c r="N326" s="444">
        <v>0</v>
      </c>
      <c r="O326" s="444">
        <v>0</v>
      </c>
      <c r="P326" s="444">
        <v>0</v>
      </c>
      <c r="Q326" s="444">
        <v>0</v>
      </c>
      <c r="R326" s="444">
        <v>0</v>
      </c>
      <c r="S326" s="444">
        <v>0</v>
      </c>
      <c r="T326" s="444">
        <v>28</v>
      </c>
      <c r="U326" s="444">
        <v>0</v>
      </c>
      <c r="V326" s="444">
        <v>0</v>
      </c>
      <c r="W326" s="444">
        <v>0</v>
      </c>
      <c r="X326" s="418"/>
      <c r="Y326" s="445"/>
      <c r="Z326" s="420"/>
      <c r="AA326" s="421">
        <v>85.326999999999998</v>
      </c>
      <c r="AB326" s="421">
        <v>29.978000000000002</v>
      </c>
      <c r="AC326" s="454">
        <v>2</v>
      </c>
      <c r="AE326" s="419" t="s">
        <v>2222</v>
      </c>
      <c r="AF326" s="454">
        <v>1</v>
      </c>
      <c r="AG326" s="429">
        <v>43101</v>
      </c>
      <c r="AJ326" s="430">
        <v>43252</v>
      </c>
      <c r="AL326" s="424" t="s">
        <v>926</v>
      </c>
      <c r="AO326" s="445"/>
      <c r="AP326" s="454">
        <v>556645</v>
      </c>
      <c r="AQ326" s="431">
        <v>43122</v>
      </c>
      <c r="AT326" s="426"/>
      <c r="AU326" s="426"/>
      <c r="AV326" s="426"/>
      <c r="AY326" s="427" t="s">
        <v>1559</v>
      </c>
      <c r="AZ326" s="373"/>
      <c r="BB326" s="374" t="s">
        <v>2214</v>
      </c>
      <c r="BC326" s="445"/>
      <c r="BE326" s="448">
        <v>0</v>
      </c>
      <c r="BF326" s="449">
        <v>0</v>
      </c>
      <c r="BG326" s="428" t="s">
        <v>1764</v>
      </c>
      <c r="BH326" s="445"/>
      <c r="BI326" s="491"/>
      <c r="BJ326" s="491">
        <v>17</v>
      </c>
      <c r="BK326" s="445" t="s">
        <v>2856</v>
      </c>
      <c r="BL326" s="419" t="s">
        <v>2857</v>
      </c>
      <c r="BM326" s="445"/>
      <c r="BN326" s="419" t="s">
        <v>1765</v>
      </c>
      <c r="BO326" s="419" t="s">
        <v>1765</v>
      </c>
      <c r="BP326" s="419" t="s">
        <v>1765</v>
      </c>
      <c r="BQ326" s="419" t="s">
        <v>1269</v>
      </c>
      <c r="BR326" s="419"/>
      <c r="BS326" s="419"/>
      <c r="BT326" s="445"/>
      <c r="BU326" s="445"/>
      <c r="BV326" s="445"/>
      <c r="BW326" s="445" t="s">
        <v>2209</v>
      </c>
      <c r="BX326" s="445"/>
      <c r="BY326" s="445"/>
    </row>
    <row r="327" spans="1:77" ht="15">
      <c r="A327" s="370" t="s">
        <v>1269</v>
      </c>
      <c r="B327" s="415" t="s">
        <v>132</v>
      </c>
      <c r="C327" s="416" t="s">
        <v>1682</v>
      </c>
      <c r="D327" s="444">
        <v>0</v>
      </c>
      <c r="E327" s="415" t="s">
        <v>1716</v>
      </c>
      <c r="F327" s="444">
        <v>3</v>
      </c>
      <c r="G327" s="415" t="s">
        <v>1661</v>
      </c>
      <c r="H327" s="444">
        <v>6</v>
      </c>
      <c r="I327" s="417" t="s">
        <v>1664</v>
      </c>
      <c r="J327" s="444">
        <v>8.6999999999999993</v>
      </c>
      <c r="K327" s="444">
        <v>283</v>
      </c>
      <c r="L327" s="444">
        <v>0</v>
      </c>
      <c r="M327" s="444">
        <v>0</v>
      </c>
      <c r="N327" s="444">
        <v>2</v>
      </c>
      <c r="O327" s="444">
        <v>0</v>
      </c>
      <c r="P327" s="444">
        <v>0</v>
      </c>
      <c r="Q327" s="444">
        <v>0</v>
      </c>
      <c r="R327" s="444">
        <v>0</v>
      </c>
      <c r="S327" s="444">
        <v>0</v>
      </c>
      <c r="T327" s="444">
        <v>0</v>
      </c>
      <c r="U327" s="444">
        <v>2</v>
      </c>
      <c r="V327" s="444">
        <v>0</v>
      </c>
      <c r="W327" s="444">
        <v>142</v>
      </c>
      <c r="X327" s="418"/>
      <c r="Y327" s="445"/>
      <c r="Z327" s="420"/>
      <c r="AA327" s="421">
        <v>80.704999999999998</v>
      </c>
      <c r="AB327" s="421">
        <v>38.070999999999998</v>
      </c>
      <c r="AC327" s="454">
        <v>9</v>
      </c>
      <c r="AE327" s="419" t="s">
        <v>2223</v>
      </c>
      <c r="AF327" s="454">
        <v>1</v>
      </c>
      <c r="AG327" s="441">
        <v>43101</v>
      </c>
      <c r="AJ327" s="442">
        <v>43252</v>
      </c>
      <c r="AL327" s="424" t="s">
        <v>926</v>
      </c>
      <c r="AO327" s="445"/>
      <c r="AP327" s="454">
        <v>556645</v>
      </c>
      <c r="AQ327" s="443">
        <v>43122</v>
      </c>
      <c r="AT327" s="426"/>
      <c r="AU327" s="426"/>
      <c r="AV327" s="426"/>
      <c r="AY327" s="427" t="s">
        <v>1559</v>
      </c>
      <c r="AZ327" s="373"/>
      <c r="BB327" s="374" t="s">
        <v>2214</v>
      </c>
      <c r="BC327" s="445"/>
      <c r="BE327" s="448">
        <v>0</v>
      </c>
      <c r="BF327" s="449">
        <v>0</v>
      </c>
      <c r="BG327" s="428" t="s">
        <v>1764</v>
      </c>
      <c r="BH327" s="445"/>
      <c r="BI327" s="491"/>
      <c r="BJ327" s="491">
        <v>22</v>
      </c>
      <c r="BK327" s="445" t="s">
        <v>126</v>
      </c>
      <c r="BL327" s="419" t="s">
        <v>2715</v>
      </c>
      <c r="BM327" s="445"/>
      <c r="BN327" s="419" t="s">
        <v>1765</v>
      </c>
      <c r="BO327" s="419" t="s">
        <v>1765</v>
      </c>
      <c r="BP327" s="419" t="s">
        <v>1765</v>
      </c>
      <c r="BQ327" s="419" t="s">
        <v>1269</v>
      </c>
      <c r="BR327" s="419"/>
      <c r="BS327" s="419"/>
      <c r="BT327" s="445"/>
      <c r="BU327" s="445"/>
      <c r="BV327" s="445"/>
      <c r="BW327" s="445" t="s">
        <v>2209</v>
      </c>
      <c r="BX327" s="445"/>
      <c r="BY327" s="445"/>
    </row>
    <row r="328" spans="1:77" ht="15">
      <c r="A328" s="370" t="s">
        <v>1269</v>
      </c>
      <c r="B328" s="415" t="s">
        <v>132</v>
      </c>
      <c r="C328" s="416" t="s">
        <v>1682</v>
      </c>
      <c r="D328" s="444">
        <v>0</v>
      </c>
      <c r="E328" s="415" t="s">
        <v>1716</v>
      </c>
      <c r="F328" s="444">
        <v>3</v>
      </c>
      <c r="G328" s="415" t="s">
        <v>1661</v>
      </c>
      <c r="H328" s="444">
        <v>6</v>
      </c>
      <c r="I328" s="417" t="s">
        <v>1685</v>
      </c>
      <c r="J328" s="444">
        <v>0.7</v>
      </c>
      <c r="K328" s="444">
        <v>73</v>
      </c>
      <c r="L328" s="444">
        <v>0</v>
      </c>
      <c r="M328" s="444">
        <v>0</v>
      </c>
      <c r="N328" s="444">
        <v>0</v>
      </c>
      <c r="O328" s="444">
        <v>0</v>
      </c>
      <c r="P328" s="444">
        <v>0</v>
      </c>
      <c r="Q328" s="444">
        <v>0</v>
      </c>
      <c r="R328" s="444">
        <v>0</v>
      </c>
      <c r="S328" s="444">
        <v>0</v>
      </c>
      <c r="T328" s="444">
        <v>0</v>
      </c>
      <c r="U328" s="444">
        <v>0</v>
      </c>
      <c r="V328" s="444">
        <v>0</v>
      </c>
      <c r="W328" s="444">
        <v>21</v>
      </c>
      <c r="X328" s="418"/>
      <c r="Y328" s="445"/>
      <c r="Z328" s="420"/>
      <c r="AA328" s="421">
        <v>92.515000000000001</v>
      </c>
      <c r="AB328" s="421">
        <v>29.978000000000002</v>
      </c>
      <c r="AC328" s="454">
        <v>2</v>
      </c>
      <c r="AE328" s="419" t="s">
        <v>2224</v>
      </c>
      <c r="AF328" s="454">
        <v>1</v>
      </c>
      <c r="AG328" s="441">
        <v>43101</v>
      </c>
      <c r="AJ328" s="442">
        <v>43252</v>
      </c>
      <c r="AL328" s="424" t="s">
        <v>926</v>
      </c>
      <c r="AO328" s="445"/>
      <c r="AP328" s="454">
        <v>556645</v>
      </c>
      <c r="AQ328" s="443">
        <v>43122</v>
      </c>
      <c r="AT328" s="426"/>
      <c r="AU328" s="426"/>
      <c r="AV328" s="426"/>
      <c r="AY328" s="25" t="s">
        <v>1559</v>
      </c>
      <c r="AZ328" s="373"/>
      <c r="BB328" s="374" t="s">
        <v>2214</v>
      </c>
      <c r="BC328" s="445"/>
      <c r="BE328" s="448">
        <v>0</v>
      </c>
      <c r="BF328" s="449">
        <v>0</v>
      </c>
      <c r="BG328" s="428" t="s">
        <v>1764</v>
      </c>
      <c r="BH328" s="445"/>
      <c r="BI328" s="491"/>
      <c r="BJ328" s="491">
        <v>18</v>
      </c>
      <c r="BK328" s="445" t="s">
        <v>2860</v>
      </c>
      <c r="BL328" s="419" t="s">
        <v>2861</v>
      </c>
      <c r="BM328" s="445"/>
      <c r="BN328" s="419" t="s">
        <v>1765</v>
      </c>
      <c r="BO328" s="419" t="s">
        <v>1765</v>
      </c>
      <c r="BP328" s="419" t="s">
        <v>1765</v>
      </c>
      <c r="BQ328" s="419" t="s">
        <v>1269</v>
      </c>
      <c r="BR328" s="419"/>
      <c r="BS328" s="419"/>
      <c r="BT328" s="445"/>
      <c r="BU328" s="445"/>
      <c r="BV328" s="445"/>
      <c r="BW328" s="445" t="s">
        <v>2209</v>
      </c>
      <c r="BX328" s="445"/>
      <c r="BY328" s="445"/>
    </row>
    <row r="329" spans="1:77" ht="15">
      <c r="A329" s="370" t="s">
        <v>1269</v>
      </c>
      <c r="B329" s="415" t="s">
        <v>132</v>
      </c>
      <c r="C329" s="416" t="s">
        <v>1682</v>
      </c>
      <c r="D329" s="444">
        <v>0</v>
      </c>
      <c r="E329" s="415" t="s">
        <v>1716</v>
      </c>
      <c r="F329" s="444">
        <v>3</v>
      </c>
      <c r="G329" s="415" t="s">
        <v>1661</v>
      </c>
      <c r="H329" s="444">
        <v>20</v>
      </c>
      <c r="I329" s="417" t="s">
        <v>1686</v>
      </c>
      <c r="J329" s="444">
        <v>19.2</v>
      </c>
      <c r="K329" s="444">
        <v>877</v>
      </c>
      <c r="L329" s="444">
        <v>0</v>
      </c>
      <c r="M329" s="444">
        <v>0</v>
      </c>
      <c r="N329" s="444">
        <v>2</v>
      </c>
      <c r="O329" s="444">
        <v>0</v>
      </c>
      <c r="P329" s="444">
        <v>0</v>
      </c>
      <c r="Q329" s="444">
        <v>0</v>
      </c>
      <c r="R329" s="444">
        <v>189</v>
      </c>
      <c r="S329" s="444">
        <v>0</v>
      </c>
      <c r="T329" s="444">
        <v>143</v>
      </c>
      <c r="U329" s="444">
        <v>0</v>
      </c>
      <c r="V329" s="444">
        <v>0</v>
      </c>
      <c r="W329" s="444">
        <v>0</v>
      </c>
      <c r="X329" s="418"/>
      <c r="Y329" s="445"/>
      <c r="Z329" s="420"/>
      <c r="AA329" s="421">
        <v>93.891000000000005</v>
      </c>
      <c r="AB329" s="421">
        <v>29.978000000000002</v>
      </c>
      <c r="AC329" s="454">
        <v>39</v>
      </c>
      <c r="AE329" s="419" t="s">
        <v>2225</v>
      </c>
      <c r="AF329" s="454">
        <v>1</v>
      </c>
      <c r="AG329" s="441">
        <v>43101</v>
      </c>
      <c r="AJ329" s="442">
        <v>43252</v>
      </c>
      <c r="AL329" s="424" t="s">
        <v>911</v>
      </c>
      <c r="AO329" s="445"/>
      <c r="AP329" s="454">
        <v>556645</v>
      </c>
      <c r="AQ329" s="443">
        <v>43122</v>
      </c>
      <c r="AT329" s="426"/>
      <c r="AU329" s="426"/>
      <c r="AV329" s="426"/>
      <c r="AY329" s="25" t="s">
        <v>1559</v>
      </c>
      <c r="AZ329" s="373"/>
      <c r="BB329" s="374" t="s">
        <v>2214</v>
      </c>
      <c r="BC329" s="445"/>
      <c r="BE329" s="448">
        <v>0</v>
      </c>
      <c r="BF329" s="449">
        <v>0</v>
      </c>
      <c r="BG329" s="428" t="s">
        <v>1764</v>
      </c>
      <c r="BH329" s="445"/>
      <c r="BI329" s="491"/>
      <c r="BJ329" s="491">
        <v>3</v>
      </c>
      <c r="BK329" s="445" t="s">
        <v>1966</v>
      </c>
      <c r="BL329" s="419" t="s">
        <v>2714</v>
      </c>
      <c r="BM329" s="445"/>
      <c r="BN329" s="419" t="s">
        <v>1765</v>
      </c>
      <c r="BO329" s="419" t="s">
        <v>1765</v>
      </c>
      <c r="BP329" s="419" t="s">
        <v>1765</v>
      </c>
      <c r="BQ329" s="419" t="s">
        <v>1269</v>
      </c>
      <c r="BR329" s="419"/>
      <c r="BS329" s="419"/>
      <c r="BT329" s="445"/>
      <c r="BU329" s="445"/>
      <c r="BV329" s="445"/>
      <c r="BW329" s="445" t="s">
        <v>2209</v>
      </c>
      <c r="BX329" s="445"/>
      <c r="BY329" s="445"/>
    </row>
    <row r="330" spans="1:77" ht="15">
      <c r="A330" s="370" t="s">
        <v>1269</v>
      </c>
      <c r="B330" s="415" t="s">
        <v>132</v>
      </c>
      <c r="C330" s="416" t="s">
        <v>2059</v>
      </c>
      <c r="D330" s="444">
        <v>0</v>
      </c>
      <c r="E330" s="415" t="s">
        <v>1716</v>
      </c>
      <c r="F330" s="444">
        <v>3</v>
      </c>
      <c r="G330" s="415" t="s">
        <v>1661</v>
      </c>
      <c r="H330" s="444">
        <v>111</v>
      </c>
      <c r="I330" s="417" t="s">
        <v>1422</v>
      </c>
      <c r="J330" s="444">
        <v>0.1</v>
      </c>
      <c r="K330" s="444">
        <v>49</v>
      </c>
      <c r="L330" s="444">
        <v>0</v>
      </c>
      <c r="M330" s="444">
        <v>0</v>
      </c>
      <c r="N330" s="444">
        <v>0</v>
      </c>
      <c r="O330" s="444">
        <v>0</v>
      </c>
      <c r="P330" s="444">
        <v>0</v>
      </c>
      <c r="Q330" s="444">
        <v>0</v>
      </c>
      <c r="R330" s="444">
        <v>0</v>
      </c>
      <c r="S330" s="444">
        <v>0</v>
      </c>
      <c r="T330" s="444">
        <v>0</v>
      </c>
      <c r="U330" s="444">
        <v>0</v>
      </c>
      <c r="V330" s="444">
        <v>0</v>
      </c>
      <c r="W330" s="444">
        <v>3</v>
      </c>
      <c r="X330" s="418"/>
      <c r="Y330" s="445"/>
      <c r="Z330" s="420"/>
      <c r="AA330" s="421">
        <v>204.809</v>
      </c>
      <c r="AB330" s="421">
        <v>29.978000000000002</v>
      </c>
      <c r="AC330" s="454">
        <v>1</v>
      </c>
      <c r="AE330" s="419" t="s">
        <v>2226</v>
      </c>
      <c r="AF330" s="454">
        <v>1</v>
      </c>
      <c r="AG330" s="441">
        <v>43101</v>
      </c>
      <c r="AJ330" s="442">
        <v>43252</v>
      </c>
      <c r="AL330" s="424" t="s">
        <v>919</v>
      </c>
      <c r="AO330" s="445"/>
      <c r="AP330" s="454">
        <v>556655</v>
      </c>
      <c r="AQ330" s="443">
        <v>43171</v>
      </c>
      <c r="AT330" s="426"/>
      <c r="AU330" s="426"/>
      <c r="AV330" s="426"/>
      <c r="AY330" s="25" t="s">
        <v>1559</v>
      </c>
      <c r="AZ330" s="373"/>
      <c r="BB330" s="374" t="s">
        <v>2214</v>
      </c>
      <c r="BC330" s="445"/>
      <c r="BE330" s="448">
        <v>0</v>
      </c>
      <c r="BF330" s="449">
        <v>0</v>
      </c>
      <c r="BG330" s="428" t="s">
        <v>1764</v>
      </c>
      <c r="BH330" s="445"/>
      <c r="BI330" s="491"/>
      <c r="BJ330" s="491">
        <v>27</v>
      </c>
      <c r="BK330" s="445" t="s">
        <v>232</v>
      </c>
      <c r="BL330" s="419" t="s">
        <v>2862</v>
      </c>
      <c r="BM330" s="445"/>
      <c r="BN330" s="419" t="s">
        <v>1765</v>
      </c>
      <c r="BO330" s="419" t="s">
        <v>1765</v>
      </c>
      <c r="BP330" s="419" t="s">
        <v>1765</v>
      </c>
      <c r="BQ330" s="419" t="s">
        <v>1269</v>
      </c>
      <c r="BR330" s="419"/>
      <c r="BS330" s="419"/>
      <c r="BT330" s="445"/>
      <c r="BU330" s="445"/>
      <c r="BV330" s="445"/>
      <c r="BW330" s="445" t="s">
        <v>2209</v>
      </c>
      <c r="BX330" s="445"/>
      <c r="BY330" s="445"/>
    </row>
    <row r="331" spans="1:77" ht="15">
      <c r="A331" s="370" t="s">
        <v>1269</v>
      </c>
      <c r="B331" s="415" t="s">
        <v>132</v>
      </c>
      <c r="C331" s="416" t="s">
        <v>2059</v>
      </c>
      <c r="D331" s="444">
        <v>0</v>
      </c>
      <c r="E331" s="415" t="s">
        <v>1716</v>
      </c>
      <c r="F331" s="444">
        <v>3</v>
      </c>
      <c r="G331" s="415" t="s">
        <v>1661</v>
      </c>
      <c r="H331" s="444">
        <v>111</v>
      </c>
      <c r="I331" s="417" t="s">
        <v>1428</v>
      </c>
      <c r="J331" s="444">
        <v>0.5</v>
      </c>
      <c r="K331" s="444">
        <v>109</v>
      </c>
      <c r="L331" s="444">
        <v>0</v>
      </c>
      <c r="M331" s="444">
        <v>0</v>
      </c>
      <c r="N331" s="444">
        <v>0</v>
      </c>
      <c r="O331" s="444">
        <v>0</v>
      </c>
      <c r="P331" s="444">
        <v>0</v>
      </c>
      <c r="Q331" s="444">
        <v>0</v>
      </c>
      <c r="R331" s="444">
        <v>0</v>
      </c>
      <c r="S331" s="444">
        <v>0</v>
      </c>
      <c r="T331" s="444">
        <v>0</v>
      </c>
      <c r="U331" s="444">
        <v>0</v>
      </c>
      <c r="V331" s="444">
        <v>0</v>
      </c>
      <c r="W331" s="444">
        <v>15</v>
      </c>
      <c r="X331" s="418"/>
      <c r="Y331" s="445"/>
      <c r="Z331" s="420"/>
      <c r="AA331" s="421">
        <v>121.58</v>
      </c>
      <c r="AB331" s="421">
        <v>29.978000000000002</v>
      </c>
      <c r="AC331" s="454">
        <v>1</v>
      </c>
      <c r="AE331" s="419" t="s">
        <v>2227</v>
      </c>
      <c r="AF331" s="454">
        <v>1</v>
      </c>
      <c r="AG331" s="441">
        <v>43101</v>
      </c>
      <c r="AJ331" s="442">
        <v>43252</v>
      </c>
      <c r="AL331" s="424" t="s">
        <v>919</v>
      </c>
      <c r="AO331" s="445"/>
      <c r="AP331" s="454">
        <v>556655</v>
      </c>
      <c r="AQ331" s="443">
        <v>43171</v>
      </c>
      <c r="AT331" s="426"/>
      <c r="AU331" s="426"/>
      <c r="AV331" s="426"/>
      <c r="AY331" s="25" t="s">
        <v>1559</v>
      </c>
      <c r="AZ331" s="373"/>
      <c r="BB331" s="374" t="s">
        <v>2214</v>
      </c>
      <c r="BC331" s="445"/>
      <c r="BE331" s="448">
        <v>0</v>
      </c>
      <c r="BF331" s="449">
        <v>0</v>
      </c>
      <c r="BG331" s="428" t="s">
        <v>1764</v>
      </c>
      <c r="BH331" s="445"/>
      <c r="BI331" s="491"/>
      <c r="BJ331" s="491">
        <v>28</v>
      </c>
      <c r="BK331" s="445" t="s">
        <v>2863</v>
      </c>
      <c r="BL331" s="419" t="s">
        <v>2864</v>
      </c>
      <c r="BM331" s="445"/>
      <c r="BN331" s="419" t="s">
        <v>1765</v>
      </c>
      <c r="BO331" s="419" t="s">
        <v>1765</v>
      </c>
      <c r="BP331" s="419" t="s">
        <v>1765</v>
      </c>
      <c r="BQ331" s="419" t="s">
        <v>1269</v>
      </c>
      <c r="BR331" s="419"/>
      <c r="BS331" s="419"/>
      <c r="BT331" s="445"/>
      <c r="BU331" s="445"/>
      <c r="BV331" s="445"/>
      <c r="BW331" s="445" t="s">
        <v>2209</v>
      </c>
      <c r="BX331" s="445"/>
      <c r="BY331" s="445"/>
    </row>
    <row r="332" spans="1:77" ht="15">
      <c r="A332" s="370" t="s">
        <v>1269</v>
      </c>
      <c r="B332" s="415" t="s">
        <v>132</v>
      </c>
      <c r="C332" s="416" t="s">
        <v>1682</v>
      </c>
      <c r="D332" s="444">
        <v>0</v>
      </c>
      <c r="E332" s="415" t="s">
        <v>1716</v>
      </c>
      <c r="F332" s="444">
        <v>3</v>
      </c>
      <c r="G332" s="415" t="s">
        <v>1661</v>
      </c>
      <c r="H332" s="444">
        <v>111</v>
      </c>
      <c r="I332" s="417" t="s">
        <v>1632</v>
      </c>
      <c r="J332" s="444">
        <v>3.4</v>
      </c>
      <c r="K332" s="444">
        <v>210</v>
      </c>
      <c r="L332" s="444">
        <v>0</v>
      </c>
      <c r="M332" s="444">
        <v>0</v>
      </c>
      <c r="N332" s="444">
        <v>0</v>
      </c>
      <c r="O332" s="444">
        <v>0</v>
      </c>
      <c r="P332" s="444">
        <v>0</v>
      </c>
      <c r="Q332" s="444">
        <v>0</v>
      </c>
      <c r="R332" s="444">
        <v>0</v>
      </c>
      <c r="S332" s="444">
        <v>0</v>
      </c>
      <c r="T332" s="444">
        <v>0</v>
      </c>
      <c r="U332" s="444">
        <v>0</v>
      </c>
      <c r="V332" s="444">
        <v>0</v>
      </c>
      <c r="W332" s="444">
        <v>22</v>
      </c>
      <c r="X332" s="418"/>
      <c r="Y332" s="445"/>
      <c r="Z332" s="420"/>
      <c r="AA332" s="421">
        <v>180.11500000000001</v>
      </c>
      <c r="AB332" s="421">
        <v>29.978000000000002</v>
      </c>
      <c r="AC332" s="454">
        <v>4</v>
      </c>
      <c r="AE332" s="419" t="s">
        <v>2228</v>
      </c>
      <c r="AF332" s="454">
        <v>1</v>
      </c>
      <c r="AG332" s="441">
        <v>43101</v>
      </c>
      <c r="AJ332" s="442">
        <v>43252</v>
      </c>
      <c r="AL332" s="424" t="s">
        <v>919</v>
      </c>
      <c r="AO332" s="445"/>
      <c r="AP332" s="454">
        <v>556655</v>
      </c>
      <c r="AQ332" s="443">
        <v>43171</v>
      </c>
      <c r="AT332" s="426"/>
      <c r="AU332" s="426"/>
      <c r="AV332" s="426"/>
      <c r="AY332" s="25" t="s">
        <v>1559</v>
      </c>
      <c r="AZ332" s="373"/>
      <c r="BB332" s="374" t="s">
        <v>2214</v>
      </c>
      <c r="BC332" s="445"/>
      <c r="BE332" s="448">
        <v>0</v>
      </c>
      <c r="BF332" s="449">
        <v>0</v>
      </c>
      <c r="BG332" s="428" t="s">
        <v>1764</v>
      </c>
      <c r="BH332" s="445"/>
      <c r="BI332" s="491"/>
      <c r="BJ332" s="491">
        <v>21</v>
      </c>
      <c r="BK332" s="445" t="s">
        <v>2854</v>
      </c>
      <c r="BL332" s="419" t="s">
        <v>2855</v>
      </c>
      <c r="BM332" s="445"/>
      <c r="BN332" s="419" t="s">
        <v>1765</v>
      </c>
      <c r="BO332" s="419" t="s">
        <v>1765</v>
      </c>
      <c r="BP332" s="419" t="s">
        <v>1765</v>
      </c>
      <c r="BQ332" s="419" t="s">
        <v>1269</v>
      </c>
      <c r="BR332" s="419"/>
      <c r="BS332" s="419"/>
      <c r="BT332" s="445"/>
      <c r="BU332" s="445"/>
      <c r="BV332" s="445"/>
      <c r="BW332" s="445" t="s">
        <v>2209</v>
      </c>
      <c r="BX332" s="445"/>
      <c r="BY332" s="445"/>
    </row>
    <row r="333" spans="1:77" ht="15">
      <c r="A333" s="370" t="s">
        <v>1269</v>
      </c>
      <c r="B333" s="415" t="s">
        <v>132</v>
      </c>
      <c r="C333" s="416" t="s">
        <v>1682</v>
      </c>
      <c r="D333" s="444">
        <v>0</v>
      </c>
      <c r="E333" s="415" t="s">
        <v>1716</v>
      </c>
      <c r="F333" s="444">
        <v>3</v>
      </c>
      <c r="G333" s="415" t="s">
        <v>1661</v>
      </c>
      <c r="H333" s="444">
        <v>63</v>
      </c>
      <c r="I333" s="417" t="s">
        <v>1660</v>
      </c>
      <c r="J333" s="444">
        <v>3.9</v>
      </c>
      <c r="K333" s="444">
        <v>136</v>
      </c>
      <c r="L333" s="444">
        <v>0</v>
      </c>
      <c r="M333" s="444">
        <v>0</v>
      </c>
      <c r="N333" s="444">
        <v>22</v>
      </c>
      <c r="O333" s="444">
        <v>0</v>
      </c>
      <c r="P333" s="444">
        <v>0</v>
      </c>
      <c r="Q333" s="444">
        <v>0</v>
      </c>
      <c r="R333" s="444">
        <v>0</v>
      </c>
      <c r="S333" s="444">
        <v>0</v>
      </c>
      <c r="T333" s="444">
        <v>0</v>
      </c>
      <c r="U333" s="444">
        <v>0</v>
      </c>
      <c r="V333" s="444">
        <v>0</v>
      </c>
      <c r="W333" s="444">
        <v>81</v>
      </c>
      <c r="X333" s="418"/>
      <c r="Y333" s="445"/>
      <c r="Z333" s="420"/>
      <c r="AA333" s="421">
        <v>66.290000000000006</v>
      </c>
      <c r="AB333" s="421">
        <v>29.978000000000002</v>
      </c>
      <c r="AC333" s="454">
        <v>5</v>
      </c>
      <c r="AE333" s="419" t="s">
        <v>2229</v>
      </c>
      <c r="AF333" s="454">
        <v>1</v>
      </c>
      <c r="AG333" s="441">
        <v>43101</v>
      </c>
      <c r="AJ333" s="442">
        <v>43252</v>
      </c>
      <c r="AL333" s="424" t="s">
        <v>924</v>
      </c>
      <c r="AO333" s="445"/>
      <c r="AP333" s="454">
        <v>556655</v>
      </c>
      <c r="AQ333" s="443">
        <v>43171</v>
      </c>
      <c r="AT333" s="426"/>
      <c r="AU333" s="426"/>
      <c r="AV333" s="426"/>
      <c r="AY333" s="25" t="s">
        <v>1559</v>
      </c>
      <c r="AZ333" s="373"/>
      <c r="BB333" s="374" t="s">
        <v>2214</v>
      </c>
      <c r="BC333" s="445"/>
      <c r="BE333" s="448">
        <v>0</v>
      </c>
      <c r="BF333" s="449">
        <v>0</v>
      </c>
      <c r="BG333" s="428" t="s">
        <v>1764</v>
      </c>
      <c r="BH333" s="445"/>
      <c r="BI333" s="491"/>
      <c r="BJ333" s="491">
        <v>20</v>
      </c>
      <c r="BK333" s="445" t="s">
        <v>2852</v>
      </c>
      <c r="BL333" s="419" t="s">
        <v>2853</v>
      </c>
      <c r="BM333" s="445"/>
      <c r="BN333" s="419" t="s">
        <v>1765</v>
      </c>
      <c r="BO333" s="419" t="s">
        <v>1765</v>
      </c>
      <c r="BP333" s="419" t="s">
        <v>1765</v>
      </c>
      <c r="BQ333" s="419" t="s">
        <v>1269</v>
      </c>
      <c r="BR333" s="419"/>
      <c r="BS333" s="419"/>
      <c r="BT333" s="445"/>
      <c r="BU333" s="445"/>
      <c r="BV333" s="445"/>
      <c r="BW333" s="445" t="s">
        <v>2209</v>
      </c>
      <c r="BX333" s="445"/>
      <c r="BY333" s="445"/>
    </row>
    <row r="334" spans="1:77" ht="15">
      <c r="A334" s="370" t="s">
        <v>31</v>
      </c>
      <c r="B334" s="415" t="s">
        <v>132</v>
      </c>
      <c r="C334" s="416" t="s">
        <v>31</v>
      </c>
      <c r="D334" s="444">
        <v>0</v>
      </c>
      <c r="E334" s="415" t="s">
        <v>1716</v>
      </c>
      <c r="F334" s="444">
        <v>2</v>
      </c>
      <c r="G334" s="415" t="s">
        <v>1661</v>
      </c>
      <c r="H334" s="444">
        <v>3</v>
      </c>
      <c r="I334" s="417" t="s">
        <v>1425</v>
      </c>
      <c r="J334" s="444">
        <v>4</v>
      </c>
      <c r="K334" s="444">
        <v>2376</v>
      </c>
      <c r="L334" s="444">
        <v>0</v>
      </c>
      <c r="M334" s="444">
        <v>0</v>
      </c>
      <c r="N334" s="444">
        <v>535</v>
      </c>
      <c r="O334" s="444">
        <v>0</v>
      </c>
      <c r="P334" s="444">
        <v>0</v>
      </c>
      <c r="Q334" s="444">
        <v>26</v>
      </c>
      <c r="R334" s="444">
        <v>52</v>
      </c>
      <c r="S334" s="444">
        <v>4</v>
      </c>
      <c r="T334" s="444">
        <v>452</v>
      </c>
      <c r="U334" s="444">
        <v>18</v>
      </c>
      <c r="V334" s="444">
        <v>3</v>
      </c>
      <c r="W334" s="444">
        <v>308</v>
      </c>
      <c r="X334" s="418"/>
      <c r="Y334" s="445"/>
      <c r="Z334" s="420"/>
      <c r="AA334" s="421">
        <v>72.058999999999997</v>
      </c>
      <c r="AB334" s="421">
        <v>31.853000000000002</v>
      </c>
      <c r="AC334" s="454">
        <v>99</v>
      </c>
      <c r="AE334" s="419" t="s">
        <v>2230</v>
      </c>
      <c r="AF334" s="454">
        <v>1</v>
      </c>
      <c r="AG334" s="441">
        <v>43101</v>
      </c>
      <c r="AJ334" s="442">
        <v>43252</v>
      </c>
      <c r="AL334" s="424" t="s">
        <v>888</v>
      </c>
      <c r="AO334" s="445"/>
      <c r="AP334" s="454">
        <v>556617</v>
      </c>
      <c r="AQ334" s="443">
        <v>43077</v>
      </c>
      <c r="AT334" s="426"/>
      <c r="AU334" s="426"/>
      <c r="AV334" s="426"/>
      <c r="AY334" s="427" t="s">
        <v>1559</v>
      </c>
      <c r="AZ334" s="373"/>
      <c r="BB334" s="374" t="s">
        <v>2214</v>
      </c>
      <c r="BC334" s="445"/>
      <c r="BE334" s="448">
        <v>5</v>
      </c>
      <c r="BF334" s="449">
        <v>20</v>
      </c>
      <c r="BG334" s="428" t="s">
        <v>1764</v>
      </c>
      <c r="BH334" s="445"/>
      <c r="BI334" s="491"/>
      <c r="BJ334" s="491">
        <v>25</v>
      </c>
      <c r="BK334" s="445" t="s">
        <v>2912</v>
      </c>
      <c r="BL334" s="419" t="s">
        <v>2913</v>
      </c>
      <c r="BM334" s="445"/>
      <c r="BN334" s="419" t="s">
        <v>1765</v>
      </c>
      <c r="BO334" s="419" t="s">
        <v>1765</v>
      </c>
      <c r="BP334" s="419" t="s">
        <v>1765</v>
      </c>
      <c r="BQ334" s="419" t="s">
        <v>31</v>
      </c>
      <c r="BR334" s="419"/>
      <c r="BS334" s="419"/>
      <c r="BT334" s="445"/>
      <c r="BU334" s="445"/>
      <c r="BV334" s="445"/>
      <c r="BW334" s="445" t="s">
        <v>2209</v>
      </c>
      <c r="BX334" s="445"/>
      <c r="BY334" s="445"/>
    </row>
    <row r="335" spans="1:77" ht="15">
      <c r="A335" s="370" t="s">
        <v>31</v>
      </c>
      <c r="B335" s="415" t="s">
        <v>132</v>
      </c>
      <c r="C335" s="416" t="s">
        <v>31</v>
      </c>
      <c r="D335" s="444">
        <v>0</v>
      </c>
      <c r="E335" s="415" t="s">
        <v>1716</v>
      </c>
      <c r="F335" s="444">
        <v>2</v>
      </c>
      <c r="G335" s="415" t="s">
        <v>1661</v>
      </c>
      <c r="H335" s="444">
        <v>24</v>
      </c>
      <c r="I335" s="417" t="s">
        <v>1664</v>
      </c>
      <c r="J335" s="444">
        <v>2.9</v>
      </c>
      <c r="K335" s="444">
        <v>1351</v>
      </c>
      <c r="L335" s="444">
        <v>0</v>
      </c>
      <c r="M335" s="444">
        <v>0</v>
      </c>
      <c r="N335" s="444">
        <v>426</v>
      </c>
      <c r="O335" s="444">
        <v>0</v>
      </c>
      <c r="P335" s="444">
        <v>0</v>
      </c>
      <c r="Q335" s="444">
        <v>10</v>
      </c>
      <c r="R335" s="444">
        <v>28</v>
      </c>
      <c r="S335" s="444">
        <v>5</v>
      </c>
      <c r="T335" s="444">
        <v>280</v>
      </c>
      <c r="U335" s="444">
        <v>9</v>
      </c>
      <c r="V335" s="444">
        <v>4</v>
      </c>
      <c r="W335" s="444">
        <v>197</v>
      </c>
      <c r="X335" s="418"/>
      <c r="Y335" s="445"/>
      <c r="Z335" s="420"/>
      <c r="AA335" s="421">
        <v>73.221999999999994</v>
      </c>
      <c r="AB335" s="421">
        <v>34.326000000000001</v>
      </c>
      <c r="AC335" s="454">
        <v>0</v>
      </c>
      <c r="AE335" s="419" t="s">
        <v>2231</v>
      </c>
      <c r="AF335" s="454">
        <v>1</v>
      </c>
      <c r="AG335" s="441">
        <v>43101</v>
      </c>
      <c r="AJ335" s="442">
        <v>43252</v>
      </c>
      <c r="AL335" s="424" t="s">
        <v>888</v>
      </c>
      <c r="AO335" s="445"/>
      <c r="AP335" s="454">
        <v>556617</v>
      </c>
      <c r="AQ335" s="443">
        <v>43077</v>
      </c>
      <c r="AT335" s="426"/>
      <c r="AU335" s="426"/>
      <c r="AV335" s="426"/>
      <c r="AY335" s="427" t="s">
        <v>1559</v>
      </c>
      <c r="AZ335" s="373"/>
      <c r="BB335" s="374" t="s">
        <v>2214</v>
      </c>
      <c r="BC335" s="445"/>
      <c r="BE335" s="448">
        <v>5</v>
      </c>
      <c r="BF335" s="449">
        <v>40</v>
      </c>
      <c r="BG335" s="428" t="s">
        <v>1764</v>
      </c>
      <c r="BH335" s="445"/>
      <c r="BI335" s="491"/>
      <c r="BJ335" s="491">
        <v>24</v>
      </c>
      <c r="BK335" s="445" t="s">
        <v>2914</v>
      </c>
      <c r="BL335" s="419" t="s">
        <v>2915</v>
      </c>
      <c r="BM335" s="445"/>
      <c r="BN335" s="419" t="s">
        <v>1765</v>
      </c>
      <c r="BO335" s="419" t="s">
        <v>1765</v>
      </c>
      <c r="BP335" s="419" t="s">
        <v>1765</v>
      </c>
      <c r="BQ335" s="419" t="s">
        <v>31</v>
      </c>
      <c r="BR335" s="419"/>
      <c r="BS335" s="419"/>
      <c r="BT335" s="445"/>
      <c r="BU335" s="445"/>
      <c r="BV335" s="445"/>
      <c r="BW335" s="445" t="s">
        <v>2209</v>
      </c>
      <c r="BX335" s="445"/>
      <c r="BY335" s="445"/>
    </row>
    <row r="336" spans="1:77" ht="15">
      <c r="A336" s="370" t="s">
        <v>31</v>
      </c>
      <c r="B336" s="415" t="s">
        <v>132</v>
      </c>
      <c r="C336" s="416" t="s">
        <v>31</v>
      </c>
      <c r="D336" s="444">
        <v>0</v>
      </c>
      <c r="E336" s="415" t="s">
        <v>1718</v>
      </c>
      <c r="F336" s="444">
        <v>2</v>
      </c>
      <c r="G336" s="415" t="s">
        <v>1661</v>
      </c>
      <c r="H336" s="444">
        <v>54</v>
      </c>
      <c r="I336" s="417" t="s">
        <v>1688</v>
      </c>
      <c r="J336" s="444">
        <v>4.3</v>
      </c>
      <c r="K336" s="444">
        <v>2002</v>
      </c>
      <c r="L336" s="444">
        <v>0</v>
      </c>
      <c r="M336" s="444">
        <v>0</v>
      </c>
      <c r="N336" s="444">
        <v>678</v>
      </c>
      <c r="O336" s="444">
        <v>0</v>
      </c>
      <c r="P336" s="444">
        <v>0</v>
      </c>
      <c r="Q336" s="444">
        <v>55</v>
      </c>
      <c r="R336" s="444">
        <v>49</v>
      </c>
      <c r="S336" s="444">
        <v>2</v>
      </c>
      <c r="T336" s="444">
        <v>520</v>
      </c>
      <c r="U336" s="444">
        <v>17</v>
      </c>
      <c r="V336" s="444">
        <v>2</v>
      </c>
      <c r="W336" s="444">
        <v>351</v>
      </c>
      <c r="X336" s="418"/>
      <c r="Y336" s="445"/>
      <c r="Z336" s="420"/>
      <c r="AA336" s="421">
        <v>68.924999999999997</v>
      </c>
      <c r="AB336" s="421">
        <v>29.978000000000002</v>
      </c>
      <c r="AC336" s="454">
        <v>104</v>
      </c>
      <c r="AE336" s="419" t="s">
        <v>2232</v>
      </c>
      <c r="AF336" s="454">
        <v>1</v>
      </c>
      <c r="AG336" s="441">
        <v>43101</v>
      </c>
      <c r="AJ336" s="442">
        <v>43252</v>
      </c>
      <c r="AL336" s="424" t="s">
        <v>888</v>
      </c>
      <c r="AO336" s="445"/>
      <c r="AP336" s="454">
        <v>556617</v>
      </c>
      <c r="AQ336" s="443" t="s">
        <v>1719</v>
      </c>
      <c r="AT336" s="426"/>
      <c r="AU336" s="426"/>
      <c r="AV336" s="426"/>
      <c r="AY336" s="427" t="s">
        <v>1559</v>
      </c>
      <c r="AZ336" s="373"/>
      <c r="BB336" s="374" t="s">
        <v>2214</v>
      </c>
      <c r="BC336" s="445"/>
      <c r="BE336" s="448">
        <v>5</v>
      </c>
      <c r="BF336" s="449">
        <v>40</v>
      </c>
      <c r="BG336" s="428" t="s">
        <v>1764</v>
      </c>
      <c r="BH336" s="445"/>
      <c r="BI336" s="491"/>
      <c r="BJ336" s="491">
        <v>1</v>
      </c>
      <c r="BK336" s="445" t="s">
        <v>1807</v>
      </c>
      <c r="BL336" s="419" t="s">
        <v>2632</v>
      </c>
      <c r="BM336" s="445"/>
      <c r="BN336" s="419" t="s">
        <v>1765</v>
      </c>
      <c r="BO336" s="419" t="s">
        <v>1765</v>
      </c>
      <c r="BP336" s="419" t="s">
        <v>1765</v>
      </c>
      <c r="BQ336" s="419" t="s">
        <v>31</v>
      </c>
      <c r="BR336" s="419"/>
      <c r="BS336" s="419"/>
      <c r="BT336" s="445"/>
      <c r="BU336" s="445"/>
      <c r="BV336" s="445"/>
      <c r="BW336" s="445" t="s">
        <v>2209</v>
      </c>
      <c r="BX336" s="445"/>
      <c r="BY336" s="445"/>
    </row>
    <row r="337" spans="1:77" ht="15">
      <c r="A337" s="370" t="s">
        <v>1269</v>
      </c>
      <c r="B337" s="415" t="s">
        <v>132</v>
      </c>
      <c r="C337" s="416" t="s">
        <v>1693</v>
      </c>
      <c r="D337" s="444">
        <v>0</v>
      </c>
      <c r="E337" s="415" t="s">
        <v>1718</v>
      </c>
      <c r="F337" s="444">
        <v>3</v>
      </c>
      <c r="G337" s="415" t="s">
        <v>1750</v>
      </c>
      <c r="H337" s="444">
        <v>36</v>
      </c>
      <c r="I337" s="417" t="s">
        <v>1694</v>
      </c>
      <c r="J337" s="444">
        <v>5.9</v>
      </c>
      <c r="K337" s="444">
        <v>434</v>
      </c>
      <c r="L337" s="444"/>
      <c r="M337" s="444"/>
      <c r="N337" s="444"/>
      <c r="O337" s="444"/>
      <c r="P337" s="444"/>
      <c r="Q337" s="444"/>
      <c r="R337" s="444"/>
      <c r="S337" s="444"/>
      <c r="T337" s="444">
        <v>28</v>
      </c>
      <c r="U337" s="444"/>
      <c r="V337" s="444"/>
      <c r="W337" s="444">
        <v>0</v>
      </c>
      <c r="X337" s="418"/>
      <c r="Y337" s="445"/>
      <c r="Z337" s="420"/>
      <c r="AA337" s="421">
        <v>232.625</v>
      </c>
      <c r="AB337" s="421"/>
      <c r="AC337" s="454">
        <v>75</v>
      </c>
      <c r="AE337" s="419" t="s">
        <v>2233</v>
      </c>
      <c r="AF337" s="454">
        <v>1</v>
      </c>
      <c r="AG337" s="441">
        <v>43101</v>
      </c>
      <c r="AJ337" s="442">
        <v>43252</v>
      </c>
      <c r="AL337" s="424" t="s">
        <v>1012</v>
      </c>
      <c r="AO337" s="445"/>
      <c r="AP337" s="454">
        <v>556634</v>
      </c>
      <c r="AQ337" s="443">
        <v>43102</v>
      </c>
      <c r="AT337" s="426"/>
      <c r="AU337" s="426"/>
      <c r="AV337" s="426"/>
      <c r="AY337" s="427" t="s">
        <v>1559</v>
      </c>
      <c r="AZ337" s="373"/>
      <c r="BB337" s="374" t="s">
        <v>2214</v>
      </c>
      <c r="BC337" s="445"/>
      <c r="BE337" s="448"/>
      <c r="BF337" s="449"/>
      <c r="BG337" s="428"/>
      <c r="BH337" s="445"/>
      <c r="BI337" s="491"/>
      <c r="BJ337" s="491">
        <v>7</v>
      </c>
      <c r="BK337" s="445" t="s">
        <v>1849</v>
      </c>
      <c r="BL337" s="419" t="s">
        <v>2654</v>
      </c>
      <c r="BM337" s="445"/>
      <c r="BN337" s="419"/>
      <c r="BO337" s="419"/>
      <c r="BP337" s="419"/>
      <c r="BQ337" s="419" t="s">
        <v>1269</v>
      </c>
      <c r="BR337" s="419"/>
      <c r="BS337" s="419"/>
      <c r="BT337" s="445"/>
      <c r="BU337" s="445"/>
      <c r="BV337" s="445"/>
      <c r="BW337" s="445" t="s">
        <v>2209</v>
      </c>
      <c r="BX337" s="445"/>
      <c r="BY337" s="445"/>
    </row>
    <row r="338" spans="1:77" ht="15">
      <c r="A338" s="370" t="s">
        <v>1269</v>
      </c>
      <c r="B338" s="415" t="s">
        <v>216</v>
      </c>
      <c r="C338" s="416" t="s">
        <v>1619</v>
      </c>
      <c r="D338" s="444">
        <v>0</v>
      </c>
      <c r="E338" s="415" t="s">
        <v>1716</v>
      </c>
      <c r="F338" s="444">
        <v>3</v>
      </c>
      <c r="G338" s="415" t="s">
        <v>1661</v>
      </c>
      <c r="H338" s="444">
        <v>4</v>
      </c>
      <c r="I338" s="417" t="s">
        <v>1530</v>
      </c>
      <c r="J338" s="444">
        <v>1.8</v>
      </c>
      <c r="K338" s="444">
        <v>389</v>
      </c>
      <c r="L338" s="444">
        <v>0</v>
      </c>
      <c r="M338" s="444">
        <v>0</v>
      </c>
      <c r="N338" s="444">
        <v>0</v>
      </c>
      <c r="O338" s="444">
        <v>0</v>
      </c>
      <c r="P338" s="444">
        <v>0</v>
      </c>
      <c r="Q338" s="444">
        <v>0</v>
      </c>
      <c r="R338" s="444">
        <v>0</v>
      </c>
      <c r="S338" s="444">
        <v>0</v>
      </c>
      <c r="T338" s="444">
        <v>0</v>
      </c>
      <c r="U338" s="444">
        <v>2</v>
      </c>
      <c r="V338" s="444">
        <v>0</v>
      </c>
      <c r="W338" s="444">
        <v>31</v>
      </c>
      <c r="X338" s="418"/>
      <c r="Y338" s="445"/>
      <c r="Z338" s="420"/>
      <c r="AA338" s="421">
        <v>181.25399999999999</v>
      </c>
      <c r="AB338" s="421">
        <v>29.978000000000002</v>
      </c>
      <c r="AC338" s="454">
        <v>0</v>
      </c>
      <c r="AE338" s="419" t="s">
        <v>2238</v>
      </c>
      <c r="AF338" s="454">
        <v>1</v>
      </c>
      <c r="AG338" s="441">
        <v>43101</v>
      </c>
      <c r="AJ338" s="442">
        <v>43252</v>
      </c>
      <c r="AL338" s="424" t="s">
        <v>1018</v>
      </c>
      <c r="AO338" s="445"/>
      <c r="AP338" s="454">
        <v>556626</v>
      </c>
      <c r="AQ338" s="443">
        <v>43102</v>
      </c>
      <c r="AT338" s="426"/>
      <c r="AU338" s="426"/>
      <c r="AV338" s="426"/>
      <c r="AY338" s="427" t="s">
        <v>1559</v>
      </c>
      <c r="AZ338" s="373"/>
      <c r="BB338" s="374" t="s">
        <v>2214</v>
      </c>
      <c r="BC338" s="445"/>
      <c r="BE338" s="448">
        <v>0</v>
      </c>
      <c r="BF338" s="449">
        <v>0</v>
      </c>
      <c r="BG338" s="428" t="s">
        <v>1764</v>
      </c>
      <c r="BH338" s="445"/>
      <c r="BI338" s="491"/>
      <c r="BJ338" s="491">
        <v>7</v>
      </c>
      <c r="BK338" s="445" t="s">
        <v>2959</v>
      </c>
      <c r="BL338" s="419" t="s">
        <v>2960</v>
      </c>
      <c r="BM338" s="445"/>
      <c r="BN338" s="419" t="s">
        <v>1765</v>
      </c>
      <c r="BO338" s="419" t="s">
        <v>1765</v>
      </c>
      <c r="BP338" s="419" t="s">
        <v>1765</v>
      </c>
      <c r="BQ338" s="419" t="s">
        <v>1269</v>
      </c>
      <c r="BR338" s="419"/>
      <c r="BS338" s="419"/>
      <c r="BT338" s="445"/>
      <c r="BU338" s="445"/>
      <c r="BV338" s="445"/>
      <c r="BW338" s="445" t="s">
        <v>2209</v>
      </c>
      <c r="BX338" s="445"/>
      <c r="BY338" s="445"/>
    </row>
    <row r="339" spans="1:77" ht="15">
      <c r="A339" s="370" t="s">
        <v>1269</v>
      </c>
      <c r="B339" s="415" t="s">
        <v>216</v>
      </c>
      <c r="C339" s="416" t="s">
        <v>1619</v>
      </c>
      <c r="D339" s="444">
        <v>0</v>
      </c>
      <c r="E339" s="415" t="s">
        <v>1716</v>
      </c>
      <c r="F339" s="444">
        <v>3</v>
      </c>
      <c r="G339" s="415" t="s">
        <v>1661</v>
      </c>
      <c r="H339" s="444">
        <v>33</v>
      </c>
      <c r="I339" s="417" t="s">
        <v>1687</v>
      </c>
      <c r="J339" s="444">
        <v>6.2</v>
      </c>
      <c r="K339" s="444">
        <v>1049</v>
      </c>
      <c r="L339" s="444">
        <v>0</v>
      </c>
      <c r="M339" s="444">
        <v>1</v>
      </c>
      <c r="N339" s="444">
        <v>5</v>
      </c>
      <c r="O339" s="444">
        <v>0</v>
      </c>
      <c r="P339" s="444">
        <v>0</v>
      </c>
      <c r="Q339" s="444">
        <v>0</v>
      </c>
      <c r="R339" s="444">
        <v>0</v>
      </c>
      <c r="S339" s="444">
        <v>0</v>
      </c>
      <c r="T339" s="444">
        <v>0</v>
      </c>
      <c r="U339" s="444">
        <v>0</v>
      </c>
      <c r="V339" s="444">
        <v>13</v>
      </c>
      <c r="W339" s="444">
        <v>168</v>
      </c>
      <c r="X339" s="418"/>
      <c r="Y339" s="445"/>
      <c r="Z339" s="420"/>
      <c r="AA339" s="421">
        <v>106.01600000000001</v>
      </c>
      <c r="AB339" s="421">
        <v>29.978000000000002</v>
      </c>
      <c r="AC339" s="454">
        <v>18</v>
      </c>
      <c r="AE339" s="419" t="s">
        <v>2235</v>
      </c>
      <c r="AF339" s="454">
        <v>1</v>
      </c>
      <c r="AG339" s="441">
        <v>43101</v>
      </c>
      <c r="AJ339" s="442">
        <v>43252</v>
      </c>
      <c r="AL339" s="424" t="s">
        <v>928</v>
      </c>
      <c r="AO339" s="445"/>
      <c r="AP339" s="454">
        <v>556626</v>
      </c>
      <c r="AQ339" s="443">
        <v>43102</v>
      </c>
      <c r="AT339" s="426"/>
      <c r="AU339" s="426"/>
      <c r="AV339" s="426"/>
      <c r="AY339" s="427" t="s">
        <v>1559</v>
      </c>
      <c r="AZ339" s="373"/>
      <c r="BB339" s="374" t="s">
        <v>2214</v>
      </c>
      <c r="BC339" s="445"/>
      <c r="BE339" s="448">
        <v>0</v>
      </c>
      <c r="BF339" s="449">
        <v>0</v>
      </c>
      <c r="BG339" s="428" t="s">
        <v>1764</v>
      </c>
      <c r="BH339" s="445"/>
      <c r="BI339" s="491"/>
      <c r="BJ339" s="491">
        <v>8</v>
      </c>
      <c r="BK339" s="445" t="s">
        <v>2968</v>
      </c>
      <c r="BL339" s="419" t="s">
        <v>2969</v>
      </c>
      <c r="BM339" s="445"/>
      <c r="BN339" s="419" t="s">
        <v>1765</v>
      </c>
      <c r="BO339" s="419" t="s">
        <v>1765</v>
      </c>
      <c r="BP339" s="419" t="s">
        <v>1765</v>
      </c>
      <c r="BQ339" s="419" t="s">
        <v>1269</v>
      </c>
      <c r="BR339" s="419"/>
      <c r="BS339" s="419"/>
      <c r="BT339" s="445"/>
      <c r="BU339" s="445"/>
      <c r="BV339" s="445"/>
      <c r="BW339" s="445" t="s">
        <v>2209</v>
      </c>
      <c r="BX339" s="445"/>
      <c r="BY339" s="445"/>
    </row>
    <row r="340" spans="1:77" ht="15">
      <c r="A340" s="370" t="s">
        <v>1269</v>
      </c>
      <c r="B340" s="415" t="s">
        <v>216</v>
      </c>
      <c r="C340" s="416" t="s">
        <v>1619</v>
      </c>
      <c r="D340" s="444">
        <v>0</v>
      </c>
      <c r="E340" s="415" t="s">
        <v>1716</v>
      </c>
      <c r="F340" s="444">
        <v>3</v>
      </c>
      <c r="G340" s="415" t="s">
        <v>1661</v>
      </c>
      <c r="H340" s="444">
        <v>53</v>
      </c>
      <c r="I340" s="417" t="s">
        <v>1694</v>
      </c>
      <c r="J340" s="444">
        <v>4.9000000000000004</v>
      </c>
      <c r="K340" s="444">
        <v>461</v>
      </c>
      <c r="L340" s="444">
        <v>0</v>
      </c>
      <c r="M340" s="444">
        <v>11</v>
      </c>
      <c r="N340" s="444">
        <v>0</v>
      </c>
      <c r="O340" s="444">
        <v>0</v>
      </c>
      <c r="P340" s="444">
        <v>0</v>
      </c>
      <c r="Q340" s="444">
        <v>0</v>
      </c>
      <c r="R340" s="444">
        <v>0</v>
      </c>
      <c r="S340" s="444">
        <v>0</v>
      </c>
      <c r="T340" s="444">
        <v>0</v>
      </c>
      <c r="U340" s="444">
        <v>1</v>
      </c>
      <c r="V340" s="444">
        <v>56</v>
      </c>
      <c r="W340" s="444">
        <v>6</v>
      </c>
      <c r="X340" s="418"/>
      <c r="Y340" s="445"/>
      <c r="Z340" s="420"/>
      <c r="AA340" s="421">
        <v>104.047</v>
      </c>
      <c r="AB340" s="421">
        <v>29.978000000000002</v>
      </c>
      <c r="AC340" s="454">
        <v>12</v>
      </c>
      <c r="AE340" s="419" t="s">
        <v>2234</v>
      </c>
      <c r="AF340" s="454">
        <v>1</v>
      </c>
      <c r="AG340" s="441">
        <v>43101</v>
      </c>
      <c r="AJ340" s="442">
        <v>43252</v>
      </c>
      <c r="AL340" s="424" t="s">
        <v>914</v>
      </c>
      <c r="AO340" s="445"/>
      <c r="AP340" s="454">
        <v>556626</v>
      </c>
      <c r="AQ340" s="443">
        <v>43102</v>
      </c>
      <c r="AT340" s="426"/>
      <c r="AU340" s="426"/>
      <c r="AV340" s="426"/>
      <c r="AY340" s="427" t="s">
        <v>1559</v>
      </c>
      <c r="AZ340" s="373"/>
      <c r="BB340" s="374" t="s">
        <v>2214</v>
      </c>
      <c r="BC340" s="445"/>
      <c r="BE340" s="448">
        <v>0</v>
      </c>
      <c r="BF340" s="449">
        <v>0</v>
      </c>
      <c r="BG340" s="428" t="s">
        <v>1764</v>
      </c>
      <c r="BH340" s="445"/>
      <c r="BI340" s="491"/>
      <c r="BJ340" s="491">
        <v>10</v>
      </c>
      <c r="BK340" s="445" t="s">
        <v>2961</v>
      </c>
      <c r="BL340" s="419" t="s">
        <v>2962</v>
      </c>
      <c r="BM340" s="445"/>
      <c r="BN340" s="419" t="s">
        <v>1765</v>
      </c>
      <c r="BO340" s="419" t="s">
        <v>1765</v>
      </c>
      <c r="BP340" s="419" t="s">
        <v>1765</v>
      </c>
      <c r="BQ340" s="419" t="s">
        <v>1269</v>
      </c>
      <c r="BR340" s="419"/>
      <c r="BS340" s="419"/>
      <c r="BT340" s="445"/>
      <c r="BU340" s="445"/>
      <c r="BV340" s="445"/>
      <c r="BW340" s="445" t="s">
        <v>2209</v>
      </c>
      <c r="BX340" s="445"/>
      <c r="BY340" s="445"/>
    </row>
    <row r="341" spans="1:77" ht="15">
      <c r="A341" s="370" t="s">
        <v>1269</v>
      </c>
      <c r="B341" s="415" t="s">
        <v>216</v>
      </c>
      <c r="C341" s="416" t="s">
        <v>1693</v>
      </c>
      <c r="D341" s="444">
        <v>0</v>
      </c>
      <c r="E341" s="415" t="s">
        <v>1718</v>
      </c>
      <c r="F341" s="444">
        <v>3</v>
      </c>
      <c r="G341" s="415" t="s">
        <v>1661</v>
      </c>
      <c r="H341" s="444">
        <v>22</v>
      </c>
      <c r="I341" s="417" t="s">
        <v>1769</v>
      </c>
      <c r="J341" s="444">
        <v>11.5</v>
      </c>
      <c r="K341" s="444">
        <v>3220</v>
      </c>
      <c r="L341" s="444">
        <v>0</v>
      </c>
      <c r="M341" s="444">
        <v>1</v>
      </c>
      <c r="N341" s="444">
        <v>2</v>
      </c>
      <c r="O341" s="444">
        <v>0</v>
      </c>
      <c r="P341" s="444">
        <v>0</v>
      </c>
      <c r="Q341" s="444">
        <v>0</v>
      </c>
      <c r="R341" s="444">
        <v>52</v>
      </c>
      <c r="S341" s="444">
        <v>123</v>
      </c>
      <c r="T341" s="444">
        <v>207</v>
      </c>
      <c r="U341" s="444">
        <v>0</v>
      </c>
      <c r="V341" s="444">
        <v>0</v>
      </c>
      <c r="W341" s="444">
        <v>0</v>
      </c>
      <c r="X341" s="418"/>
      <c r="Y341" s="445"/>
      <c r="Z341" s="420"/>
      <c r="AA341" s="421">
        <v>130.989</v>
      </c>
      <c r="AB341" s="421">
        <v>29.978000000000002</v>
      </c>
      <c r="AC341" s="454">
        <v>5</v>
      </c>
      <c r="AE341" s="419" t="s">
        <v>2236</v>
      </c>
      <c r="AF341" s="454">
        <v>1</v>
      </c>
      <c r="AG341" s="441">
        <v>43101</v>
      </c>
      <c r="AJ341" s="442">
        <v>43252</v>
      </c>
      <c r="AL341" s="424" t="s">
        <v>1980</v>
      </c>
      <c r="AO341" s="445"/>
      <c r="AP341" s="454">
        <v>556625</v>
      </c>
      <c r="AQ341" s="443">
        <v>43102</v>
      </c>
      <c r="AT341" s="426"/>
      <c r="AU341" s="426"/>
      <c r="AV341" s="426"/>
      <c r="AY341" s="427" t="s">
        <v>1559</v>
      </c>
      <c r="AZ341" s="373"/>
      <c r="BB341" s="374" t="s">
        <v>2214</v>
      </c>
      <c r="BC341" s="445"/>
      <c r="BE341" s="448">
        <v>0</v>
      </c>
      <c r="BF341" s="449">
        <v>0</v>
      </c>
      <c r="BG341" s="428" t="s">
        <v>1764</v>
      </c>
      <c r="BH341" s="445"/>
      <c r="BI341" s="491"/>
      <c r="BJ341" s="491">
        <v>2</v>
      </c>
      <c r="BK341" s="445" t="s">
        <v>2767</v>
      </c>
      <c r="BL341" s="419" t="s">
        <v>3067</v>
      </c>
      <c r="BM341" s="445"/>
      <c r="BN341" s="419" t="s">
        <v>1765</v>
      </c>
      <c r="BO341" s="419" t="s">
        <v>1765</v>
      </c>
      <c r="BP341" s="419" t="s">
        <v>1765</v>
      </c>
      <c r="BQ341" s="419" t="s">
        <v>1269</v>
      </c>
      <c r="BR341" s="419"/>
      <c r="BS341" s="419"/>
      <c r="BT341" s="445"/>
      <c r="BU341" s="445"/>
      <c r="BV341" s="445"/>
      <c r="BW341" s="445" t="s">
        <v>2209</v>
      </c>
      <c r="BX341" s="445"/>
      <c r="BY341" s="445"/>
    </row>
    <row r="342" spans="1:77" ht="15">
      <c r="A342" s="370" t="s">
        <v>1269</v>
      </c>
      <c r="B342" s="415" t="s">
        <v>216</v>
      </c>
      <c r="C342" s="416" t="s">
        <v>1693</v>
      </c>
      <c r="D342" s="444">
        <v>0</v>
      </c>
      <c r="E342" s="415" t="s">
        <v>1716</v>
      </c>
      <c r="F342" s="444">
        <v>3</v>
      </c>
      <c r="G342" s="415" t="s">
        <v>1661</v>
      </c>
      <c r="H342" s="444">
        <v>120</v>
      </c>
      <c r="I342" s="417" t="s">
        <v>1769</v>
      </c>
      <c r="J342" s="444">
        <v>3.6</v>
      </c>
      <c r="K342" s="444">
        <v>1196</v>
      </c>
      <c r="L342" s="444">
        <v>0</v>
      </c>
      <c r="M342" s="444">
        <v>0</v>
      </c>
      <c r="N342" s="444">
        <v>0</v>
      </c>
      <c r="O342" s="444">
        <v>0</v>
      </c>
      <c r="P342" s="444">
        <v>0</v>
      </c>
      <c r="Q342" s="444">
        <v>0</v>
      </c>
      <c r="R342" s="444">
        <v>0</v>
      </c>
      <c r="S342" s="444">
        <v>0</v>
      </c>
      <c r="T342" s="444">
        <v>0</v>
      </c>
      <c r="U342" s="444">
        <v>25</v>
      </c>
      <c r="V342" s="444">
        <v>7</v>
      </c>
      <c r="W342" s="444">
        <v>38</v>
      </c>
      <c r="X342" s="418"/>
      <c r="Y342" s="445"/>
      <c r="Z342" s="420"/>
      <c r="AA342" s="421">
        <v>227.57900000000001</v>
      </c>
      <c r="AB342" s="421">
        <v>29.978000000000002</v>
      </c>
      <c r="AC342" s="454">
        <v>0</v>
      </c>
      <c r="AE342" s="419" t="s">
        <v>2237</v>
      </c>
      <c r="AF342" s="454">
        <v>1</v>
      </c>
      <c r="AG342" s="441">
        <v>43101</v>
      </c>
      <c r="AJ342" s="442">
        <v>43252</v>
      </c>
      <c r="AL342" s="424" t="s">
        <v>1018</v>
      </c>
      <c r="AO342" s="445"/>
      <c r="AP342" s="454">
        <v>556625</v>
      </c>
      <c r="AQ342" s="443">
        <v>43102</v>
      </c>
      <c r="AT342" s="426"/>
      <c r="AU342" s="426"/>
      <c r="AV342" s="426"/>
      <c r="AY342" s="427" t="s">
        <v>1559</v>
      </c>
      <c r="AZ342" s="373"/>
      <c r="BB342" s="374" t="s">
        <v>2214</v>
      </c>
      <c r="BC342" s="445"/>
      <c r="BE342" s="448">
        <v>0</v>
      </c>
      <c r="BF342" s="449">
        <v>0</v>
      </c>
      <c r="BG342" s="428" t="s">
        <v>1764</v>
      </c>
      <c r="BH342" s="445"/>
      <c r="BI342" s="491"/>
      <c r="BJ342" s="491">
        <v>5</v>
      </c>
      <c r="BK342" s="445" t="s">
        <v>2955</v>
      </c>
      <c r="BL342" s="419" t="s">
        <v>2956</v>
      </c>
      <c r="BM342" s="445"/>
      <c r="BN342" s="419" t="s">
        <v>1765</v>
      </c>
      <c r="BO342" s="419" t="s">
        <v>1765</v>
      </c>
      <c r="BP342" s="419" t="s">
        <v>1765</v>
      </c>
      <c r="BQ342" s="419" t="s">
        <v>1269</v>
      </c>
      <c r="BR342" s="419"/>
      <c r="BS342" s="419"/>
      <c r="BT342" s="445"/>
      <c r="BU342" s="445"/>
      <c r="BV342" s="445"/>
      <c r="BW342" s="445" t="s">
        <v>2209</v>
      </c>
      <c r="BX342" s="445"/>
      <c r="BY342" s="445"/>
    </row>
    <row r="343" spans="1:77" ht="15">
      <c r="A343" s="370" t="s">
        <v>1269</v>
      </c>
      <c r="B343" s="415" t="s">
        <v>216</v>
      </c>
      <c r="C343" s="416" t="s">
        <v>1619</v>
      </c>
      <c r="D343" s="444">
        <v>0</v>
      </c>
      <c r="E343" s="415" t="s">
        <v>1716</v>
      </c>
      <c r="F343" s="444">
        <v>3</v>
      </c>
      <c r="G343" s="415" t="s">
        <v>1661</v>
      </c>
      <c r="H343" s="444">
        <v>63</v>
      </c>
      <c r="I343" s="417" t="s">
        <v>1660</v>
      </c>
      <c r="J343" s="444">
        <v>3.1</v>
      </c>
      <c r="K343" s="444">
        <v>435</v>
      </c>
      <c r="L343" s="444">
        <v>0</v>
      </c>
      <c r="M343" s="444">
        <v>2</v>
      </c>
      <c r="N343" s="444">
        <v>0</v>
      </c>
      <c r="O343" s="444">
        <v>0</v>
      </c>
      <c r="P343" s="444">
        <v>0</v>
      </c>
      <c r="Q343" s="444">
        <v>0</v>
      </c>
      <c r="R343" s="444">
        <v>0</v>
      </c>
      <c r="S343" s="444">
        <v>0</v>
      </c>
      <c r="T343" s="444">
        <v>0</v>
      </c>
      <c r="U343" s="444">
        <v>3</v>
      </c>
      <c r="V343" s="444">
        <v>6</v>
      </c>
      <c r="W343" s="444">
        <v>48</v>
      </c>
      <c r="X343" s="418"/>
      <c r="Y343" s="445"/>
      <c r="Z343" s="420"/>
      <c r="AA343" s="421">
        <v>127.443</v>
      </c>
      <c r="AB343" s="421">
        <v>29.978000000000002</v>
      </c>
      <c r="AC343" s="454">
        <v>6</v>
      </c>
      <c r="AE343" s="419" t="s">
        <v>2239</v>
      </c>
      <c r="AF343" s="454">
        <v>1</v>
      </c>
      <c r="AG343" s="441">
        <v>43101</v>
      </c>
      <c r="AJ343" s="442">
        <v>43252</v>
      </c>
      <c r="AL343" s="424" t="s">
        <v>1019</v>
      </c>
      <c r="AO343" s="445"/>
      <c r="AP343" s="454">
        <v>556626</v>
      </c>
      <c r="AQ343" s="443">
        <v>43102</v>
      </c>
      <c r="AT343" s="426"/>
      <c r="AU343" s="426"/>
      <c r="AV343" s="426"/>
      <c r="AY343" s="427" t="s">
        <v>1559</v>
      </c>
      <c r="AZ343" s="373"/>
      <c r="BB343" s="374" t="s">
        <v>2214</v>
      </c>
      <c r="BC343" s="445"/>
      <c r="BE343" s="448">
        <v>0</v>
      </c>
      <c r="BF343" s="449">
        <v>0</v>
      </c>
      <c r="BG343" s="428" t="s">
        <v>1764</v>
      </c>
      <c r="BH343" s="445"/>
      <c r="BI343" s="491"/>
      <c r="BJ343" s="491">
        <v>11</v>
      </c>
      <c r="BK343" s="445" t="s">
        <v>2852</v>
      </c>
      <c r="BL343" s="419" t="s">
        <v>2963</v>
      </c>
      <c r="BM343" s="445"/>
      <c r="BN343" s="419" t="s">
        <v>1765</v>
      </c>
      <c r="BO343" s="419" t="s">
        <v>1765</v>
      </c>
      <c r="BP343" s="419" t="s">
        <v>1765</v>
      </c>
      <c r="BQ343" s="419" t="s">
        <v>1269</v>
      </c>
      <c r="BR343" s="419"/>
      <c r="BS343" s="419"/>
      <c r="BT343" s="445"/>
      <c r="BU343" s="445"/>
      <c r="BV343" s="445"/>
      <c r="BW343" s="445" t="s">
        <v>2209</v>
      </c>
      <c r="BX343" s="445"/>
      <c r="BY343" s="445"/>
    </row>
    <row r="344" spans="1:77" ht="15">
      <c r="A344" s="370" t="s">
        <v>1269</v>
      </c>
      <c r="B344" s="415" t="s">
        <v>216</v>
      </c>
      <c r="C344" s="416" t="s">
        <v>1619</v>
      </c>
      <c r="D344" s="444">
        <v>0</v>
      </c>
      <c r="E344" s="415" t="s">
        <v>1716</v>
      </c>
      <c r="F344" s="444">
        <v>3</v>
      </c>
      <c r="G344" s="415" t="s">
        <v>1661</v>
      </c>
      <c r="H344" s="444">
        <v>96</v>
      </c>
      <c r="I344" s="417" t="s">
        <v>1683</v>
      </c>
      <c r="J344" s="444">
        <v>3.7</v>
      </c>
      <c r="K344" s="444">
        <v>495</v>
      </c>
      <c r="L344" s="444">
        <v>0</v>
      </c>
      <c r="M344" s="444">
        <v>0</v>
      </c>
      <c r="N344" s="444">
        <v>4</v>
      </c>
      <c r="O344" s="444">
        <v>0</v>
      </c>
      <c r="P344" s="444">
        <v>0</v>
      </c>
      <c r="Q344" s="444">
        <v>0</v>
      </c>
      <c r="R344" s="444">
        <v>0</v>
      </c>
      <c r="S344" s="444">
        <v>0</v>
      </c>
      <c r="T344" s="444">
        <v>0</v>
      </c>
      <c r="U344" s="444">
        <v>14</v>
      </c>
      <c r="V344" s="444">
        <v>13</v>
      </c>
      <c r="W344" s="444">
        <v>57</v>
      </c>
      <c r="X344" s="418"/>
      <c r="Y344" s="445"/>
      <c r="Z344" s="420"/>
      <c r="AA344" s="421">
        <v>106.38500000000001</v>
      </c>
      <c r="AB344" s="421">
        <v>29.978000000000002</v>
      </c>
      <c r="AC344" s="454">
        <v>9</v>
      </c>
      <c r="AE344" s="419" t="s">
        <v>2240</v>
      </c>
      <c r="AF344" s="454">
        <v>1</v>
      </c>
      <c r="AG344" s="441">
        <v>43101</v>
      </c>
      <c r="AJ344" s="442">
        <v>43252</v>
      </c>
      <c r="AL344" s="424" t="s">
        <v>1019</v>
      </c>
      <c r="AO344" s="445"/>
      <c r="AP344" s="454">
        <v>556626</v>
      </c>
      <c r="AQ344" s="443">
        <v>43102</v>
      </c>
      <c r="AT344" s="426"/>
      <c r="AU344" s="426"/>
      <c r="AV344" s="426"/>
      <c r="AY344" s="427" t="s">
        <v>1559</v>
      </c>
      <c r="AZ344" s="373"/>
      <c r="BB344" s="374" t="s">
        <v>2214</v>
      </c>
      <c r="BC344" s="445"/>
      <c r="BE344" s="448">
        <v>0</v>
      </c>
      <c r="BF344" s="449">
        <v>0</v>
      </c>
      <c r="BG344" s="428" t="s">
        <v>1764</v>
      </c>
      <c r="BH344" s="445"/>
      <c r="BI344" s="491"/>
      <c r="BJ344" s="491">
        <v>13</v>
      </c>
      <c r="BK344" s="445" t="s">
        <v>2964</v>
      </c>
      <c r="BL344" s="419" t="s">
        <v>2965</v>
      </c>
      <c r="BM344" s="445"/>
      <c r="BN344" s="419" t="s">
        <v>1765</v>
      </c>
      <c r="BO344" s="419" t="s">
        <v>1765</v>
      </c>
      <c r="BP344" s="419" t="s">
        <v>1765</v>
      </c>
      <c r="BQ344" s="419" t="s">
        <v>1269</v>
      </c>
      <c r="BR344" s="419"/>
      <c r="BS344" s="419"/>
      <c r="BT344" s="445"/>
      <c r="BU344" s="445"/>
      <c r="BV344" s="445"/>
      <c r="BW344" s="445" t="s">
        <v>2209</v>
      </c>
      <c r="BX344" s="445"/>
      <c r="BY344" s="445"/>
    </row>
    <row r="345" spans="1:77" ht="15">
      <c r="A345" s="370" t="s">
        <v>1269</v>
      </c>
      <c r="B345" s="415" t="s">
        <v>216</v>
      </c>
      <c r="C345" s="416" t="s">
        <v>1619</v>
      </c>
      <c r="D345" s="444">
        <v>0</v>
      </c>
      <c r="E345" s="415" t="s">
        <v>1716</v>
      </c>
      <c r="F345" s="444">
        <v>3</v>
      </c>
      <c r="G345" s="415" t="s">
        <v>1661</v>
      </c>
      <c r="H345" s="444">
        <v>102</v>
      </c>
      <c r="I345" s="417" t="s">
        <v>1632</v>
      </c>
      <c r="J345" s="444">
        <v>5.9</v>
      </c>
      <c r="K345" s="444">
        <v>996</v>
      </c>
      <c r="L345" s="444">
        <v>0</v>
      </c>
      <c r="M345" s="444">
        <v>0</v>
      </c>
      <c r="N345" s="444">
        <v>5</v>
      </c>
      <c r="O345" s="444">
        <v>0</v>
      </c>
      <c r="P345" s="444">
        <v>0</v>
      </c>
      <c r="Q345" s="444">
        <v>0</v>
      </c>
      <c r="R345" s="444">
        <v>0</v>
      </c>
      <c r="S345" s="444">
        <v>0</v>
      </c>
      <c r="T345" s="444">
        <v>0</v>
      </c>
      <c r="U345" s="444">
        <v>4</v>
      </c>
      <c r="V345" s="444">
        <v>12</v>
      </c>
      <c r="W345" s="444">
        <v>162</v>
      </c>
      <c r="X345" s="418"/>
      <c r="Y345" s="445"/>
      <c r="Z345" s="420"/>
      <c r="AA345" s="421">
        <v>106.52200000000001</v>
      </c>
      <c r="AB345" s="421">
        <v>29.978000000000002</v>
      </c>
      <c r="AC345" s="454">
        <v>18</v>
      </c>
      <c r="AE345" s="419" t="s">
        <v>2241</v>
      </c>
      <c r="AF345" s="454">
        <v>1</v>
      </c>
      <c r="AG345" s="441">
        <v>43101</v>
      </c>
      <c r="AJ345" s="442">
        <v>43252</v>
      </c>
      <c r="AL345" s="424" t="s">
        <v>2071</v>
      </c>
      <c r="AO345" s="445"/>
      <c r="AP345" s="454">
        <v>556626</v>
      </c>
      <c r="AQ345" s="443">
        <v>43102</v>
      </c>
      <c r="AT345" s="426"/>
      <c r="AU345" s="426"/>
      <c r="AV345" s="426"/>
      <c r="AY345" s="427" t="s">
        <v>1559</v>
      </c>
      <c r="AZ345" s="373"/>
      <c r="BB345" s="374" t="s">
        <v>2214</v>
      </c>
      <c r="BC345" s="445"/>
      <c r="BE345" s="448">
        <v>0</v>
      </c>
      <c r="BF345" s="449">
        <v>0</v>
      </c>
      <c r="BG345" s="428" t="s">
        <v>1764</v>
      </c>
      <c r="BH345" s="445"/>
      <c r="BI345" s="491"/>
      <c r="BJ345" s="491">
        <v>14</v>
      </c>
      <c r="BK345" s="445" t="s">
        <v>2966</v>
      </c>
      <c r="BL345" s="419" t="s">
        <v>2967</v>
      </c>
      <c r="BM345" s="445"/>
      <c r="BN345" s="419" t="s">
        <v>1765</v>
      </c>
      <c r="BO345" s="419" t="s">
        <v>1765</v>
      </c>
      <c r="BP345" s="419" t="s">
        <v>1765</v>
      </c>
      <c r="BQ345" s="419" t="s">
        <v>1269</v>
      </c>
      <c r="BR345" s="419"/>
      <c r="BS345" s="419"/>
      <c r="BT345" s="445"/>
      <c r="BU345" s="445"/>
      <c r="BV345" s="445"/>
      <c r="BW345" s="445" t="s">
        <v>2209</v>
      </c>
      <c r="BX345" s="445"/>
      <c r="BY345" s="445"/>
    </row>
    <row r="346" spans="1:77" ht="15">
      <c r="A346" s="370" t="s">
        <v>1269</v>
      </c>
      <c r="B346" s="415" t="s">
        <v>216</v>
      </c>
      <c r="C346" s="416" t="s">
        <v>1682</v>
      </c>
      <c r="D346" s="444">
        <v>0</v>
      </c>
      <c r="E346" s="415" t="s">
        <v>1749</v>
      </c>
      <c r="F346" s="444">
        <v>3</v>
      </c>
      <c r="G346" s="415" t="s">
        <v>1750</v>
      </c>
      <c r="H346" s="444">
        <v>58</v>
      </c>
      <c r="I346" s="417" t="s">
        <v>1686</v>
      </c>
      <c r="J346" s="444">
        <v>1.8</v>
      </c>
      <c r="K346" s="444">
        <v>138</v>
      </c>
      <c r="L346" s="444"/>
      <c r="M346" s="444">
        <v>26</v>
      </c>
      <c r="N346" s="444">
        <v>0</v>
      </c>
      <c r="O346" s="444"/>
      <c r="P346" s="444"/>
      <c r="Q346" s="444"/>
      <c r="R346" s="444"/>
      <c r="S346" s="444">
        <v>0</v>
      </c>
      <c r="T346" s="444">
        <v>0</v>
      </c>
      <c r="U346" s="444"/>
      <c r="V346" s="444">
        <v>42</v>
      </c>
      <c r="W346" s="444">
        <v>0</v>
      </c>
      <c r="X346" s="418"/>
      <c r="Y346" s="445"/>
      <c r="Z346" s="420"/>
      <c r="AA346" s="421">
        <v>59.682000000000002</v>
      </c>
      <c r="AB346" s="421"/>
      <c r="AC346" s="454">
        <v>7</v>
      </c>
      <c r="AE346" s="419" t="s">
        <v>2242</v>
      </c>
      <c r="AF346" s="454">
        <v>1</v>
      </c>
      <c r="AG346" s="441">
        <v>43101</v>
      </c>
      <c r="AJ346" s="442">
        <v>43252</v>
      </c>
      <c r="AL346" s="424" t="s">
        <v>1019</v>
      </c>
      <c r="AO346" s="445"/>
      <c r="AP346" s="454">
        <v>556647</v>
      </c>
      <c r="AQ346" s="443">
        <v>43124</v>
      </c>
      <c r="AT346" s="426"/>
      <c r="AU346" s="426"/>
      <c r="AV346" s="426"/>
      <c r="AY346" s="427" t="s">
        <v>1559</v>
      </c>
      <c r="AZ346" s="373"/>
      <c r="BB346" s="374" t="s">
        <v>2214</v>
      </c>
      <c r="BC346" s="445"/>
      <c r="BE346" s="448"/>
      <c r="BF346" s="449"/>
      <c r="BG346" s="428"/>
      <c r="BH346" s="445"/>
      <c r="BI346" s="491"/>
      <c r="BJ346" s="491">
        <v>16</v>
      </c>
      <c r="BK346" s="445" t="s">
        <v>178</v>
      </c>
      <c r="BL346" s="419" t="s">
        <v>2692</v>
      </c>
      <c r="BM346" s="445"/>
      <c r="BN346" s="419"/>
      <c r="BO346" s="419"/>
      <c r="BP346" s="419"/>
      <c r="BQ346" s="419" t="s">
        <v>1269</v>
      </c>
      <c r="BR346" s="419"/>
      <c r="BS346" s="419"/>
      <c r="BT346" s="445"/>
      <c r="BU346" s="445"/>
      <c r="BV346" s="445"/>
      <c r="BW346" s="445" t="s">
        <v>2209</v>
      </c>
      <c r="BX346" s="445"/>
      <c r="BY346" s="445"/>
    </row>
    <row r="347" spans="1:77" ht="15">
      <c r="A347" s="370" t="s">
        <v>31</v>
      </c>
      <c r="B347" s="415" t="s">
        <v>216</v>
      </c>
      <c r="C347" s="416" t="s">
        <v>31</v>
      </c>
      <c r="D347" s="444">
        <v>0</v>
      </c>
      <c r="E347" s="415" t="s">
        <v>1716</v>
      </c>
      <c r="F347" s="444">
        <v>3</v>
      </c>
      <c r="G347" s="415" t="s">
        <v>1661</v>
      </c>
      <c r="H347" s="444">
        <v>85</v>
      </c>
      <c r="I347" s="417" t="s">
        <v>1715</v>
      </c>
      <c r="J347" s="444">
        <v>3</v>
      </c>
      <c r="K347" s="444">
        <v>1386</v>
      </c>
      <c r="L347" s="444">
        <v>0</v>
      </c>
      <c r="M347" s="444">
        <v>298</v>
      </c>
      <c r="N347" s="444">
        <v>12</v>
      </c>
      <c r="O347" s="444">
        <v>0</v>
      </c>
      <c r="P347" s="444">
        <v>0</v>
      </c>
      <c r="Q347" s="444">
        <v>0</v>
      </c>
      <c r="R347" s="444">
        <v>0</v>
      </c>
      <c r="S347" s="444">
        <v>94</v>
      </c>
      <c r="T347" s="444">
        <v>130</v>
      </c>
      <c r="U347" s="444">
        <v>0</v>
      </c>
      <c r="V347" s="444">
        <v>65</v>
      </c>
      <c r="W347" s="444">
        <v>94</v>
      </c>
      <c r="X347" s="418"/>
      <c r="Y347" s="445"/>
      <c r="Z347" s="420"/>
      <c r="AA347" s="421">
        <v>85.484999999999999</v>
      </c>
      <c r="AB347" s="421">
        <v>42.780999999999999</v>
      </c>
      <c r="AC347" s="454">
        <v>67</v>
      </c>
      <c r="AE347" s="419" t="s">
        <v>2243</v>
      </c>
      <c r="AF347" s="454">
        <v>1</v>
      </c>
      <c r="AG347" s="441">
        <v>43101</v>
      </c>
      <c r="AJ347" s="442">
        <v>43252</v>
      </c>
      <c r="AL347" s="424" t="s">
        <v>929</v>
      </c>
      <c r="AO347" s="445"/>
      <c r="AP347" s="454">
        <v>556618</v>
      </c>
      <c r="AQ347" s="443" t="s">
        <v>1719</v>
      </c>
      <c r="AT347" s="426"/>
      <c r="AU347" s="426"/>
      <c r="AV347" s="426"/>
      <c r="AY347" s="427" t="s">
        <v>1559</v>
      </c>
      <c r="AZ347" s="373"/>
      <c r="BB347" s="374" t="s">
        <v>2214</v>
      </c>
      <c r="BC347" s="445"/>
      <c r="BE347" s="448">
        <v>5</v>
      </c>
      <c r="BF347" s="449">
        <v>40</v>
      </c>
      <c r="BG347" s="428" t="s">
        <v>1764</v>
      </c>
      <c r="BH347" s="445"/>
      <c r="BI347" s="491"/>
      <c r="BJ347" s="491">
        <v>12</v>
      </c>
      <c r="BK347" s="445" t="s">
        <v>1815</v>
      </c>
      <c r="BL347" s="419" t="s">
        <v>2636</v>
      </c>
      <c r="BM347" s="445"/>
      <c r="BN347" s="419" t="s">
        <v>1765</v>
      </c>
      <c r="BO347" s="419" t="s">
        <v>1765</v>
      </c>
      <c r="BP347" s="419" t="s">
        <v>1765</v>
      </c>
      <c r="BQ347" s="419" t="s">
        <v>31</v>
      </c>
      <c r="BR347" s="419"/>
      <c r="BS347" s="419"/>
      <c r="BT347" s="445"/>
      <c r="BU347" s="445"/>
      <c r="BV347" s="445"/>
      <c r="BW347" s="445" t="s">
        <v>2209</v>
      </c>
      <c r="BX347" s="445"/>
      <c r="BY347" s="445"/>
    </row>
    <row r="348" spans="1:77" ht="15">
      <c r="A348" s="370" t="s">
        <v>1269</v>
      </c>
      <c r="B348" s="415" t="s">
        <v>216</v>
      </c>
      <c r="C348" s="416" t="s">
        <v>1767</v>
      </c>
      <c r="D348" s="444">
        <v>0</v>
      </c>
      <c r="E348" s="415" t="s">
        <v>1749</v>
      </c>
      <c r="F348" s="444">
        <v>3</v>
      </c>
      <c r="G348" s="415" t="s">
        <v>1750</v>
      </c>
      <c r="H348" s="444">
        <v>65</v>
      </c>
      <c r="I348" s="417" t="s">
        <v>1664</v>
      </c>
      <c r="J348" s="444">
        <v>0.5</v>
      </c>
      <c r="K348" s="444">
        <v>54</v>
      </c>
      <c r="L348" s="444"/>
      <c r="M348" s="444">
        <v>21</v>
      </c>
      <c r="N348" s="444">
        <v>0</v>
      </c>
      <c r="O348" s="444"/>
      <c r="P348" s="444"/>
      <c r="Q348" s="444"/>
      <c r="R348" s="444"/>
      <c r="S348" s="444">
        <v>0</v>
      </c>
      <c r="T348" s="444">
        <v>0</v>
      </c>
      <c r="U348" s="444"/>
      <c r="V348" s="444">
        <v>17</v>
      </c>
      <c r="W348" s="444">
        <v>0</v>
      </c>
      <c r="X348" s="418"/>
      <c r="Y348" s="445"/>
      <c r="Z348" s="420"/>
      <c r="AA348" s="421">
        <v>47.741</v>
      </c>
      <c r="AB348" s="421"/>
      <c r="AC348" s="454">
        <v>5</v>
      </c>
      <c r="AE348" s="419" t="s">
        <v>2244</v>
      </c>
      <c r="AF348" s="454">
        <v>1</v>
      </c>
      <c r="AG348" s="441">
        <v>43101</v>
      </c>
      <c r="AJ348" s="442">
        <v>43252</v>
      </c>
      <c r="AL348" s="424" t="s">
        <v>914</v>
      </c>
      <c r="AO348" s="445"/>
      <c r="AP348" s="454">
        <v>556648</v>
      </c>
      <c r="AQ348" s="443">
        <v>43124</v>
      </c>
      <c r="AT348" s="426"/>
      <c r="AU348" s="426"/>
      <c r="AV348" s="426"/>
      <c r="AY348" s="427" t="s">
        <v>1559</v>
      </c>
      <c r="AZ348" s="373"/>
      <c r="BB348" s="374" t="s">
        <v>2214</v>
      </c>
      <c r="BC348" s="445"/>
      <c r="BE348" s="448"/>
      <c r="BF348" s="449"/>
      <c r="BG348" s="428"/>
      <c r="BH348" s="445"/>
      <c r="BI348" s="491"/>
      <c r="BJ348" s="491">
        <v>21</v>
      </c>
      <c r="BK348" s="445" t="s">
        <v>200</v>
      </c>
      <c r="BL348" s="419" t="s">
        <v>2682</v>
      </c>
      <c r="BM348" s="445"/>
      <c r="BN348" s="419"/>
      <c r="BO348" s="419"/>
      <c r="BP348" s="419"/>
      <c r="BQ348" s="419" t="s">
        <v>1269</v>
      </c>
      <c r="BR348" s="419"/>
      <c r="BS348" s="419"/>
      <c r="BT348" s="445"/>
      <c r="BU348" s="445"/>
      <c r="BV348" s="445"/>
      <c r="BW348" s="445" t="s">
        <v>2209</v>
      </c>
      <c r="BX348" s="445"/>
      <c r="BY348" s="445"/>
    </row>
    <row r="349" spans="1:77" ht="15">
      <c r="A349" s="370" t="s">
        <v>1269</v>
      </c>
      <c r="B349" s="415" t="s">
        <v>216</v>
      </c>
      <c r="C349" s="416" t="s">
        <v>1767</v>
      </c>
      <c r="D349" s="444">
        <v>0</v>
      </c>
      <c r="E349" s="415" t="s">
        <v>1749</v>
      </c>
      <c r="F349" s="444">
        <v>3</v>
      </c>
      <c r="G349" s="415" t="s">
        <v>1750</v>
      </c>
      <c r="H349" s="444">
        <v>58</v>
      </c>
      <c r="I349" s="417" t="s">
        <v>1769</v>
      </c>
      <c r="J349" s="444">
        <v>0.1</v>
      </c>
      <c r="K349" s="444">
        <v>55</v>
      </c>
      <c r="L349" s="444"/>
      <c r="M349" s="444">
        <v>3</v>
      </c>
      <c r="N349" s="444">
        <v>0</v>
      </c>
      <c r="O349" s="444"/>
      <c r="P349" s="444"/>
      <c r="Q349" s="444"/>
      <c r="R349" s="444"/>
      <c r="S349" s="444">
        <v>0</v>
      </c>
      <c r="T349" s="444">
        <v>0</v>
      </c>
      <c r="U349" s="444"/>
      <c r="V349" s="444">
        <v>40</v>
      </c>
      <c r="W349" s="444">
        <v>0</v>
      </c>
      <c r="X349" s="418"/>
      <c r="Y349" s="445"/>
      <c r="Z349" s="420"/>
      <c r="AA349" s="421">
        <v>66.483999999999995</v>
      </c>
      <c r="AB349" s="421"/>
      <c r="AC349" s="454">
        <v>2</v>
      </c>
      <c r="AE349" s="419" t="s">
        <v>2245</v>
      </c>
      <c r="AF349" s="454">
        <v>1</v>
      </c>
      <c r="AG349" s="441">
        <v>43101</v>
      </c>
      <c r="AJ349" s="442">
        <v>43252</v>
      </c>
      <c r="AL349" s="424" t="s">
        <v>914</v>
      </c>
      <c r="AO349" s="445"/>
      <c r="AP349" s="454">
        <v>556648</v>
      </c>
      <c r="AQ349" s="443">
        <v>43124</v>
      </c>
      <c r="AT349" s="426"/>
      <c r="AU349" s="426"/>
      <c r="AV349" s="426"/>
      <c r="AY349" s="427" t="s">
        <v>1559</v>
      </c>
      <c r="AZ349" s="373"/>
      <c r="BB349" s="374" t="s">
        <v>2214</v>
      </c>
      <c r="BC349" s="445"/>
      <c r="BE349" s="448"/>
      <c r="BF349" s="449"/>
      <c r="BG349" s="428"/>
      <c r="BH349" s="445"/>
      <c r="BI349" s="491"/>
      <c r="BJ349" s="491">
        <v>29</v>
      </c>
      <c r="BK349" s="445" t="s">
        <v>1912</v>
      </c>
      <c r="BL349" s="419" t="s">
        <v>2688</v>
      </c>
      <c r="BM349" s="445"/>
      <c r="BN349" s="419"/>
      <c r="BO349" s="419"/>
      <c r="BP349" s="419"/>
      <c r="BQ349" s="419" t="s">
        <v>1269</v>
      </c>
      <c r="BR349" s="419"/>
      <c r="BS349" s="419"/>
      <c r="BT349" s="445"/>
      <c r="BU349" s="445"/>
      <c r="BV349" s="445"/>
      <c r="BW349" s="445" t="s">
        <v>2209</v>
      </c>
      <c r="BX349" s="445"/>
      <c r="BY349" s="445"/>
    </row>
    <row r="350" spans="1:77" ht="15">
      <c r="A350" s="370" t="s">
        <v>1269</v>
      </c>
      <c r="B350" s="415" t="s">
        <v>216</v>
      </c>
      <c r="C350" s="416" t="s">
        <v>1682</v>
      </c>
      <c r="D350" s="444">
        <v>0</v>
      </c>
      <c r="E350" s="415" t="s">
        <v>1718</v>
      </c>
      <c r="F350" s="444">
        <v>3</v>
      </c>
      <c r="G350" s="415" t="s">
        <v>1661</v>
      </c>
      <c r="H350" s="444">
        <v>17</v>
      </c>
      <c r="I350" s="417" t="s">
        <v>1664</v>
      </c>
      <c r="J350" s="444">
        <v>3.7</v>
      </c>
      <c r="K350" s="444">
        <v>226</v>
      </c>
      <c r="L350" s="444">
        <v>0</v>
      </c>
      <c r="M350" s="444">
        <v>1</v>
      </c>
      <c r="N350" s="444">
        <v>10</v>
      </c>
      <c r="O350" s="444">
        <v>0</v>
      </c>
      <c r="P350" s="444">
        <v>0</v>
      </c>
      <c r="Q350" s="444">
        <v>0</v>
      </c>
      <c r="R350" s="444">
        <v>0</v>
      </c>
      <c r="S350" s="444">
        <v>0</v>
      </c>
      <c r="T350" s="444">
        <v>0</v>
      </c>
      <c r="U350" s="444">
        <v>24</v>
      </c>
      <c r="V350" s="444">
        <v>7</v>
      </c>
      <c r="W350" s="444">
        <v>74</v>
      </c>
      <c r="X350" s="418"/>
      <c r="Y350" s="445"/>
      <c r="Z350" s="420"/>
      <c r="AA350" s="421">
        <v>74.436999999999998</v>
      </c>
      <c r="AB350" s="421">
        <v>29.978000000000002</v>
      </c>
      <c r="AC350" s="454">
        <v>9</v>
      </c>
      <c r="AE350" s="419" t="s">
        <v>2246</v>
      </c>
      <c r="AF350" s="454">
        <v>1</v>
      </c>
      <c r="AG350" s="441">
        <v>43101</v>
      </c>
      <c r="AJ350" s="442">
        <v>43252</v>
      </c>
      <c r="AL350" s="424" t="s">
        <v>1980</v>
      </c>
      <c r="AO350" s="445"/>
      <c r="AP350" s="454">
        <v>556650</v>
      </c>
      <c r="AQ350" s="443">
        <v>43137</v>
      </c>
      <c r="AT350" s="426"/>
      <c r="AU350" s="426"/>
      <c r="AV350" s="426"/>
      <c r="AY350" s="427" t="s">
        <v>1559</v>
      </c>
      <c r="AZ350" s="373"/>
      <c r="BB350" s="374" t="s">
        <v>2214</v>
      </c>
      <c r="BC350" s="445"/>
      <c r="BE350" s="448">
        <v>0</v>
      </c>
      <c r="BF350" s="449">
        <v>0</v>
      </c>
      <c r="BG350" s="428" t="s">
        <v>1764</v>
      </c>
      <c r="BH350" s="445"/>
      <c r="BI350" s="491"/>
      <c r="BJ350" s="491">
        <v>38</v>
      </c>
      <c r="BK350" s="445" t="s">
        <v>2735</v>
      </c>
      <c r="BL350" s="419" t="s">
        <v>2736</v>
      </c>
      <c r="BM350" s="445"/>
      <c r="BN350" s="419" t="s">
        <v>1765</v>
      </c>
      <c r="BO350" s="419" t="s">
        <v>1765</v>
      </c>
      <c r="BP350" s="419" t="s">
        <v>1765</v>
      </c>
      <c r="BQ350" s="419" t="s">
        <v>1269</v>
      </c>
      <c r="BR350" s="419"/>
      <c r="BS350" s="419"/>
      <c r="BT350" s="445"/>
      <c r="BU350" s="445"/>
      <c r="BV350" s="445"/>
      <c r="BW350" s="445" t="s">
        <v>2209</v>
      </c>
      <c r="BX350" s="445"/>
      <c r="BY350" s="445"/>
    </row>
    <row r="351" spans="1:77" ht="15">
      <c r="A351" s="370" t="s">
        <v>1269</v>
      </c>
      <c r="B351" s="415" t="s">
        <v>216</v>
      </c>
      <c r="C351" s="416" t="s">
        <v>1682</v>
      </c>
      <c r="D351" s="444">
        <v>0</v>
      </c>
      <c r="E351" s="415" t="s">
        <v>1716</v>
      </c>
      <c r="F351" s="444">
        <v>3</v>
      </c>
      <c r="G351" s="415" t="s">
        <v>1661</v>
      </c>
      <c r="H351" s="444">
        <v>33</v>
      </c>
      <c r="I351" s="417" t="s">
        <v>1664</v>
      </c>
      <c r="J351" s="444">
        <v>1.7</v>
      </c>
      <c r="K351" s="444">
        <v>111</v>
      </c>
      <c r="L351" s="444">
        <v>0</v>
      </c>
      <c r="M351" s="444">
        <v>0</v>
      </c>
      <c r="N351" s="444">
        <v>13</v>
      </c>
      <c r="O351" s="444">
        <v>0</v>
      </c>
      <c r="P351" s="444">
        <v>0</v>
      </c>
      <c r="Q351" s="444">
        <v>0</v>
      </c>
      <c r="R351" s="444">
        <v>0</v>
      </c>
      <c r="S351" s="444">
        <v>0</v>
      </c>
      <c r="T351" s="444">
        <v>0</v>
      </c>
      <c r="U351" s="444">
        <v>2</v>
      </c>
      <c r="V351" s="444">
        <v>0</v>
      </c>
      <c r="W351" s="444">
        <v>72</v>
      </c>
      <c r="X351" s="418"/>
      <c r="Y351" s="445"/>
      <c r="Z351" s="420"/>
      <c r="AA351" s="421">
        <v>68.626999999999995</v>
      </c>
      <c r="AB351" s="421">
        <v>29.978000000000002</v>
      </c>
      <c r="AC351" s="454">
        <v>5</v>
      </c>
      <c r="AE351" s="419" t="s">
        <v>2247</v>
      </c>
      <c r="AF351" s="454">
        <v>1</v>
      </c>
      <c r="AG351" s="441">
        <v>43101</v>
      </c>
      <c r="AJ351" s="442">
        <v>43252</v>
      </c>
      <c r="AL351" s="424" t="s">
        <v>928</v>
      </c>
      <c r="AO351" s="445"/>
      <c r="AP351" s="454">
        <v>556650</v>
      </c>
      <c r="AQ351" s="443">
        <v>43137</v>
      </c>
      <c r="AT351" s="426"/>
      <c r="AU351" s="426"/>
      <c r="AV351" s="426"/>
      <c r="AY351" s="427" t="s">
        <v>1559</v>
      </c>
      <c r="AZ351" s="373"/>
      <c r="BB351" s="374" t="s">
        <v>2214</v>
      </c>
      <c r="BC351" s="445"/>
      <c r="BE351" s="448">
        <v>0</v>
      </c>
      <c r="BF351" s="449">
        <v>0</v>
      </c>
      <c r="BG351" s="428" t="s">
        <v>1764</v>
      </c>
      <c r="BH351" s="445"/>
      <c r="BI351" s="491"/>
      <c r="BJ351" s="491">
        <v>39</v>
      </c>
      <c r="BK351" s="445" t="s">
        <v>2737</v>
      </c>
      <c r="BL351" s="419" t="s">
        <v>2738</v>
      </c>
      <c r="BM351" s="445"/>
      <c r="BN351" s="419" t="s">
        <v>1765</v>
      </c>
      <c r="BO351" s="419" t="s">
        <v>1765</v>
      </c>
      <c r="BP351" s="419" t="s">
        <v>1765</v>
      </c>
      <c r="BQ351" s="419" t="s">
        <v>1269</v>
      </c>
      <c r="BR351" s="419"/>
      <c r="BS351" s="419"/>
      <c r="BT351" s="445"/>
      <c r="BU351" s="445"/>
      <c r="BV351" s="445"/>
      <c r="BW351" s="445" t="s">
        <v>2209</v>
      </c>
      <c r="BX351" s="445"/>
      <c r="BY351" s="445"/>
    </row>
    <row r="352" spans="1:77" ht="15">
      <c r="A352" s="370" t="s">
        <v>1269</v>
      </c>
      <c r="B352" s="415" t="s">
        <v>216</v>
      </c>
      <c r="C352" s="416" t="s">
        <v>1682</v>
      </c>
      <c r="D352" s="444">
        <v>0</v>
      </c>
      <c r="E352" s="415" t="s">
        <v>1716</v>
      </c>
      <c r="F352" s="444">
        <v>3</v>
      </c>
      <c r="G352" s="415" t="s">
        <v>1661</v>
      </c>
      <c r="H352" s="444">
        <v>94</v>
      </c>
      <c r="I352" s="417" t="s">
        <v>1664</v>
      </c>
      <c r="J352" s="444">
        <v>5.3</v>
      </c>
      <c r="K352" s="444">
        <v>371</v>
      </c>
      <c r="L352" s="444">
        <v>0</v>
      </c>
      <c r="M352" s="444">
        <v>0</v>
      </c>
      <c r="N352" s="444">
        <v>15</v>
      </c>
      <c r="O352" s="444">
        <v>0</v>
      </c>
      <c r="P352" s="444">
        <v>0</v>
      </c>
      <c r="Q352" s="444">
        <v>0</v>
      </c>
      <c r="R352" s="444">
        <v>0</v>
      </c>
      <c r="S352" s="444">
        <v>0</v>
      </c>
      <c r="T352" s="444">
        <v>0</v>
      </c>
      <c r="U352" s="444">
        <v>38</v>
      </c>
      <c r="V352" s="444">
        <v>1</v>
      </c>
      <c r="W352" s="444">
        <v>134</v>
      </c>
      <c r="X352" s="418"/>
      <c r="Y352" s="445"/>
      <c r="Z352" s="420"/>
      <c r="AA352" s="421">
        <v>75.290999999999997</v>
      </c>
      <c r="AB352" s="421">
        <v>29.978000000000002</v>
      </c>
      <c r="AC352" s="454">
        <v>11</v>
      </c>
      <c r="AE352" s="419" t="s">
        <v>2248</v>
      </c>
      <c r="AF352" s="454">
        <v>1</v>
      </c>
      <c r="AG352" s="441">
        <v>43101</v>
      </c>
      <c r="AJ352" s="442">
        <v>43252</v>
      </c>
      <c r="AL352" s="424" t="s">
        <v>1019</v>
      </c>
      <c r="AO352" s="445"/>
      <c r="AP352" s="454">
        <v>556650</v>
      </c>
      <c r="AQ352" s="443">
        <v>43137</v>
      </c>
      <c r="AT352" s="426"/>
      <c r="AU352" s="426"/>
      <c r="AV352" s="426"/>
      <c r="AY352" s="427" t="s">
        <v>1559</v>
      </c>
      <c r="AZ352" s="373"/>
      <c r="BB352" s="374" t="s">
        <v>2214</v>
      </c>
      <c r="BC352" s="445"/>
      <c r="BE352" s="448">
        <v>0</v>
      </c>
      <c r="BF352" s="449">
        <v>0</v>
      </c>
      <c r="BG352" s="428" t="s">
        <v>1764</v>
      </c>
      <c r="BH352" s="445"/>
      <c r="BI352" s="491"/>
      <c r="BJ352" s="491">
        <v>42</v>
      </c>
      <c r="BK352" s="445" t="s">
        <v>372</v>
      </c>
      <c r="BL352" s="419" t="s">
        <v>2742</v>
      </c>
      <c r="BM352" s="445"/>
      <c r="BN352" s="419" t="s">
        <v>1765</v>
      </c>
      <c r="BO352" s="419" t="s">
        <v>1765</v>
      </c>
      <c r="BP352" s="419" t="s">
        <v>1765</v>
      </c>
      <c r="BQ352" s="419" t="s">
        <v>1269</v>
      </c>
      <c r="BR352" s="419"/>
      <c r="BS352" s="419"/>
      <c r="BT352" s="445"/>
      <c r="BU352" s="445"/>
      <c r="BV352" s="445"/>
      <c r="BW352" s="445" t="s">
        <v>2209</v>
      </c>
      <c r="BX352" s="445"/>
      <c r="BY352" s="445"/>
    </row>
    <row r="353" spans="1:77" ht="15">
      <c r="A353" s="370" t="s">
        <v>1269</v>
      </c>
      <c r="B353" s="415" t="s">
        <v>216</v>
      </c>
      <c r="C353" s="416" t="s">
        <v>1682</v>
      </c>
      <c r="D353" s="444">
        <v>0</v>
      </c>
      <c r="E353" s="415" t="s">
        <v>1716</v>
      </c>
      <c r="F353" s="444">
        <v>3</v>
      </c>
      <c r="G353" s="415" t="s">
        <v>1661</v>
      </c>
      <c r="H353" s="444">
        <v>109</v>
      </c>
      <c r="I353" s="417" t="s">
        <v>1660</v>
      </c>
      <c r="J353" s="444">
        <v>9.6</v>
      </c>
      <c r="K353" s="444">
        <v>582</v>
      </c>
      <c r="L353" s="444">
        <v>0</v>
      </c>
      <c r="M353" s="444">
        <v>0</v>
      </c>
      <c r="N353" s="444">
        <v>23</v>
      </c>
      <c r="O353" s="444">
        <v>0</v>
      </c>
      <c r="P353" s="444">
        <v>0</v>
      </c>
      <c r="Q353" s="444">
        <v>0</v>
      </c>
      <c r="R353" s="444">
        <v>0</v>
      </c>
      <c r="S353" s="444">
        <v>0</v>
      </c>
      <c r="T353" s="444">
        <v>0</v>
      </c>
      <c r="U353" s="444">
        <v>0</v>
      </c>
      <c r="V353" s="444">
        <v>4</v>
      </c>
      <c r="W353" s="444">
        <v>211</v>
      </c>
      <c r="X353" s="418"/>
      <c r="Y353" s="445"/>
      <c r="Z353" s="420"/>
      <c r="AA353" s="421">
        <v>80.712000000000003</v>
      </c>
      <c r="AB353" s="421">
        <v>29.978000000000002</v>
      </c>
      <c r="AC353" s="454">
        <v>17</v>
      </c>
      <c r="AE353" s="419" t="s">
        <v>2249</v>
      </c>
      <c r="AF353" s="454">
        <v>1</v>
      </c>
      <c r="AG353" s="441">
        <v>43101</v>
      </c>
      <c r="AJ353" s="442">
        <v>43252</v>
      </c>
      <c r="AL353" s="424" t="s">
        <v>1019</v>
      </c>
      <c r="AO353" s="445"/>
      <c r="AP353" s="454">
        <v>556650</v>
      </c>
      <c r="AQ353" s="443">
        <v>43137</v>
      </c>
      <c r="AT353" s="426"/>
      <c r="AU353" s="426"/>
      <c r="AV353" s="426"/>
      <c r="AY353" s="427" t="s">
        <v>1559</v>
      </c>
      <c r="AZ353" s="373"/>
      <c r="BB353" s="374" t="s">
        <v>2214</v>
      </c>
      <c r="BC353" s="445"/>
      <c r="BE353" s="448">
        <v>0</v>
      </c>
      <c r="BF353" s="449">
        <v>0</v>
      </c>
      <c r="BG353" s="428" t="s">
        <v>1764</v>
      </c>
      <c r="BH353" s="445"/>
      <c r="BI353" s="491"/>
      <c r="BJ353" s="491">
        <v>43</v>
      </c>
      <c r="BK353" s="445" t="s">
        <v>2743</v>
      </c>
      <c r="BL353" s="419" t="s">
        <v>2744</v>
      </c>
      <c r="BM353" s="445"/>
      <c r="BN353" s="419" t="s">
        <v>1765</v>
      </c>
      <c r="BO353" s="419" t="s">
        <v>1765</v>
      </c>
      <c r="BP353" s="419" t="s">
        <v>1765</v>
      </c>
      <c r="BQ353" s="419" t="s">
        <v>1269</v>
      </c>
      <c r="BR353" s="419"/>
      <c r="BS353" s="419"/>
      <c r="BT353" s="445"/>
      <c r="BU353" s="445"/>
      <c r="BV353" s="445"/>
      <c r="BW353" s="445" t="s">
        <v>2209</v>
      </c>
      <c r="BX353" s="445"/>
      <c r="BY353" s="445"/>
    </row>
    <row r="354" spans="1:77" ht="15">
      <c r="A354" s="370" t="s">
        <v>1269</v>
      </c>
      <c r="B354" s="415" t="s">
        <v>216</v>
      </c>
      <c r="C354" s="416" t="s">
        <v>1682</v>
      </c>
      <c r="D354" s="444">
        <v>0</v>
      </c>
      <c r="E354" s="415" t="s">
        <v>1716</v>
      </c>
      <c r="F354" s="444">
        <v>3</v>
      </c>
      <c r="G354" s="415" t="s">
        <v>1661</v>
      </c>
      <c r="H354" s="444">
        <v>138</v>
      </c>
      <c r="I354" s="417" t="s">
        <v>1433</v>
      </c>
      <c r="J354" s="444">
        <v>7.7</v>
      </c>
      <c r="K354" s="444">
        <v>713</v>
      </c>
      <c r="L354" s="444">
        <v>0</v>
      </c>
      <c r="M354" s="444">
        <v>0</v>
      </c>
      <c r="N354" s="444">
        <v>0</v>
      </c>
      <c r="O354" s="444">
        <v>0</v>
      </c>
      <c r="P354" s="444">
        <v>0</v>
      </c>
      <c r="Q354" s="444">
        <v>0</v>
      </c>
      <c r="R354" s="444">
        <v>0</v>
      </c>
      <c r="S354" s="444">
        <v>0</v>
      </c>
      <c r="T354" s="444">
        <v>0</v>
      </c>
      <c r="U354" s="444">
        <v>0</v>
      </c>
      <c r="V354" s="444">
        <v>0</v>
      </c>
      <c r="W354" s="444">
        <v>185</v>
      </c>
      <c r="X354" s="418"/>
      <c r="Y354" s="445"/>
      <c r="Z354" s="420"/>
      <c r="AA354" s="421">
        <v>92.515000000000001</v>
      </c>
      <c r="AB354" s="421">
        <v>29.978000000000002</v>
      </c>
      <c r="AC354" s="454">
        <v>28</v>
      </c>
      <c r="AE354" s="419" t="s">
        <v>2250</v>
      </c>
      <c r="AF354" s="454">
        <v>1</v>
      </c>
      <c r="AG354" s="441">
        <v>43101</v>
      </c>
      <c r="AJ354" s="442">
        <v>43252</v>
      </c>
      <c r="AL354" s="424" t="s">
        <v>1987</v>
      </c>
      <c r="AO354" s="445"/>
      <c r="AP354" s="454">
        <v>556650</v>
      </c>
      <c r="AQ354" s="443">
        <v>43137</v>
      </c>
      <c r="AT354" s="426"/>
      <c r="AU354" s="426"/>
      <c r="AV354" s="426"/>
      <c r="AY354" s="427" t="s">
        <v>1559</v>
      </c>
      <c r="AZ354" s="373"/>
      <c r="BB354" s="374" t="s">
        <v>2214</v>
      </c>
      <c r="BC354" s="445"/>
      <c r="BE354" s="448">
        <v>0</v>
      </c>
      <c r="BF354" s="449">
        <v>0</v>
      </c>
      <c r="BG354" s="428" t="s">
        <v>1764</v>
      </c>
      <c r="BH354" s="445"/>
      <c r="BI354" s="491"/>
      <c r="BJ354" s="491">
        <v>44</v>
      </c>
      <c r="BK354" s="445" t="s">
        <v>2745</v>
      </c>
      <c r="BL354" s="419" t="s">
        <v>2746</v>
      </c>
      <c r="BM354" s="445"/>
      <c r="BN354" s="419" t="s">
        <v>1765</v>
      </c>
      <c r="BO354" s="419" t="s">
        <v>1765</v>
      </c>
      <c r="BP354" s="419" t="s">
        <v>1765</v>
      </c>
      <c r="BQ354" s="419" t="s">
        <v>1269</v>
      </c>
      <c r="BR354" s="419"/>
      <c r="BS354" s="419"/>
      <c r="BT354" s="445"/>
      <c r="BU354" s="445"/>
      <c r="BV354" s="445"/>
      <c r="BW354" s="445" t="s">
        <v>2209</v>
      </c>
      <c r="BX354" s="445"/>
      <c r="BY354" s="445"/>
    </row>
    <row r="355" spans="1:77" ht="15">
      <c r="A355" s="370" t="s">
        <v>1269</v>
      </c>
      <c r="B355" s="415" t="s">
        <v>216</v>
      </c>
      <c r="C355" s="416" t="s">
        <v>1682</v>
      </c>
      <c r="D355" s="444">
        <v>0</v>
      </c>
      <c r="E355" s="415" t="s">
        <v>1716</v>
      </c>
      <c r="F355" s="444">
        <v>3</v>
      </c>
      <c r="G355" s="415" t="s">
        <v>1661</v>
      </c>
      <c r="H355" s="444">
        <v>11</v>
      </c>
      <c r="I355" s="417" t="s">
        <v>1768</v>
      </c>
      <c r="J355" s="444">
        <v>2.7</v>
      </c>
      <c r="K355" s="444">
        <v>185</v>
      </c>
      <c r="L355" s="444">
        <v>0</v>
      </c>
      <c r="M355" s="444">
        <v>0</v>
      </c>
      <c r="N355" s="444">
        <v>4</v>
      </c>
      <c r="O355" s="444">
        <v>0</v>
      </c>
      <c r="P355" s="444">
        <v>0</v>
      </c>
      <c r="Q355" s="444">
        <v>0</v>
      </c>
      <c r="R355" s="444">
        <v>0</v>
      </c>
      <c r="S355" s="444">
        <v>0</v>
      </c>
      <c r="T355" s="444">
        <v>0</v>
      </c>
      <c r="U355" s="444">
        <v>0</v>
      </c>
      <c r="V355" s="444">
        <v>4</v>
      </c>
      <c r="W355" s="444">
        <v>55</v>
      </c>
      <c r="X355" s="418"/>
      <c r="Y355" s="445"/>
      <c r="Z355" s="420"/>
      <c r="AA355" s="421">
        <v>85.305000000000007</v>
      </c>
      <c r="AB355" s="421">
        <v>29.978000000000002</v>
      </c>
      <c r="AC355" s="454">
        <v>5</v>
      </c>
      <c r="AE355" s="419" t="s">
        <v>2251</v>
      </c>
      <c r="AF355" s="454">
        <v>1</v>
      </c>
      <c r="AG355" s="441">
        <v>43101</v>
      </c>
      <c r="AJ355" s="442">
        <v>43252</v>
      </c>
      <c r="AL355" s="424" t="s">
        <v>1018</v>
      </c>
      <c r="AO355" s="445"/>
      <c r="AP355" s="454">
        <v>556658</v>
      </c>
      <c r="AQ355" s="443">
        <v>43172</v>
      </c>
      <c r="AT355" s="426"/>
      <c r="AU355" s="426"/>
      <c r="AV355" s="426"/>
      <c r="AY355" s="427" t="s">
        <v>1559</v>
      </c>
      <c r="AZ355" s="373"/>
      <c r="BB355" s="374" t="s">
        <v>2214</v>
      </c>
      <c r="BC355" s="445"/>
      <c r="BE355" s="448">
        <v>0</v>
      </c>
      <c r="BF355" s="449">
        <v>0</v>
      </c>
      <c r="BG355" s="428" t="s">
        <v>1764</v>
      </c>
      <c r="BH355" s="445"/>
      <c r="BI355" s="491"/>
      <c r="BJ355" s="491">
        <v>45</v>
      </c>
      <c r="BK355" s="445" t="s">
        <v>2865</v>
      </c>
      <c r="BL355" s="419" t="s">
        <v>2866</v>
      </c>
      <c r="BM355" s="445"/>
      <c r="BN355" s="419" t="s">
        <v>1765</v>
      </c>
      <c r="BO355" s="419" t="s">
        <v>1765</v>
      </c>
      <c r="BP355" s="419" t="s">
        <v>1765</v>
      </c>
      <c r="BQ355" s="419" t="s">
        <v>1269</v>
      </c>
      <c r="BR355" s="419"/>
      <c r="BS355" s="419"/>
      <c r="BT355" s="445"/>
      <c r="BU355" s="445"/>
      <c r="BV355" s="445"/>
      <c r="BW355" s="445" t="s">
        <v>2209</v>
      </c>
      <c r="BX355" s="445"/>
      <c r="BY355" s="445"/>
    </row>
    <row r="356" spans="1:77" ht="15">
      <c r="A356" s="370" t="s">
        <v>1269</v>
      </c>
      <c r="B356" s="415" t="s">
        <v>216</v>
      </c>
      <c r="C356" s="416" t="s">
        <v>1682</v>
      </c>
      <c r="D356" s="444">
        <v>0</v>
      </c>
      <c r="E356" s="415" t="s">
        <v>1716</v>
      </c>
      <c r="F356" s="444">
        <v>3</v>
      </c>
      <c r="G356" s="415" t="s">
        <v>1661</v>
      </c>
      <c r="H356" s="444">
        <v>66</v>
      </c>
      <c r="I356" s="417" t="s">
        <v>1664</v>
      </c>
      <c r="J356" s="444">
        <v>23.9</v>
      </c>
      <c r="K356" s="444">
        <v>1266</v>
      </c>
      <c r="L356" s="444">
        <v>0</v>
      </c>
      <c r="M356" s="444">
        <v>228</v>
      </c>
      <c r="N356" s="444">
        <v>0</v>
      </c>
      <c r="O356" s="444">
        <v>0</v>
      </c>
      <c r="P356" s="444">
        <v>0</v>
      </c>
      <c r="Q356" s="444">
        <v>0</v>
      </c>
      <c r="R356" s="444">
        <v>0</v>
      </c>
      <c r="S356" s="444">
        <v>0</v>
      </c>
      <c r="T356" s="444">
        <v>0</v>
      </c>
      <c r="U356" s="444">
        <v>0</v>
      </c>
      <c r="V356" s="444">
        <v>503</v>
      </c>
      <c r="W356" s="444">
        <v>42</v>
      </c>
      <c r="X356" s="418"/>
      <c r="Y356" s="445"/>
      <c r="Z356" s="420"/>
      <c r="AA356" s="421">
        <v>60.606999999999999</v>
      </c>
      <c r="AB356" s="421">
        <v>29.978000000000002</v>
      </c>
      <c r="AC356" s="454">
        <v>93</v>
      </c>
      <c r="AE356" s="419" t="s">
        <v>2252</v>
      </c>
      <c r="AF356" s="454">
        <v>1</v>
      </c>
      <c r="AG356" s="441">
        <v>43101</v>
      </c>
      <c r="AJ356" s="442">
        <v>43252</v>
      </c>
      <c r="AL356" s="424" t="s">
        <v>914</v>
      </c>
      <c r="AO356" s="445"/>
      <c r="AP356" s="454">
        <v>556658</v>
      </c>
      <c r="AQ356" s="443">
        <v>43172</v>
      </c>
      <c r="AT356" s="426"/>
      <c r="AU356" s="426"/>
      <c r="AV356" s="426"/>
      <c r="AY356" s="427" t="s">
        <v>1559</v>
      </c>
      <c r="AZ356" s="373"/>
      <c r="BB356" s="374" t="s">
        <v>2214</v>
      </c>
      <c r="BC356" s="445"/>
      <c r="BE356" s="448">
        <v>0</v>
      </c>
      <c r="BF356" s="449">
        <v>0</v>
      </c>
      <c r="BG356" s="428" t="s">
        <v>1764</v>
      </c>
      <c r="BH356" s="445"/>
      <c r="BI356" s="491"/>
      <c r="BJ356" s="491">
        <v>47</v>
      </c>
      <c r="BK356" s="445" t="s">
        <v>279</v>
      </c>
      <c r="BL356" s="419" t="s">
        <v>2867</v>
      </c>
      <c r="BM356" s="445"/>
      <c r="BN356" s="419" t="s">
        <v>1765</v>
      </c>
      <c r="BO356" s="419" t="s">
        <v>1765</v>
      </c>
      <c r="BP356" s="419" t="s">
        <v>1765</v>
      </c>
      <c r="BQ356" s="419" t="s">
        <v>1269</v>
      </c>
      <c r="BR356" s="419"/>
      <c r="BS356" s="419"/>
      <c r="BT356" s="445"/>
      <c r="BU356" s="445"/>
      <c r="BV356" s="445"/>
      <c r="BW356" s="445" t="s">
        <v>2209</v>
      </c>
      <c r="BX356" s="445"/>
      <c r="BY356" s="445"/>
    </row>
    <row r="357" spans="1:77" ht="15">
      <c r="A357" s="370" t="s">
        <v>1269</v>
      </c>
      <c r="B357" s="415" t="s">
        <v>216</v>
      </c>
      <c r="C357" s="416" t="s">
        <v>1682</v>
      </c>
      <c r="D357" s="444">
        <v>0</v>
      </c>
      <c r="E357" s="415" t="s">
        <v>1716</v>
      </c>
      <c r="F357" s="444">
        <v>3</v>
      </c>
      <c r="G357" s="415" t="s">
        <v>1661</v>
      </c>
      <c r="H357" s="444">
        <v>71</v>
      </c>
      <c r="I357" s="417" t="s">
        <v>1632</v>
      </c>
      <c r="J357" s="444">
        <v>13.5</v>
      </c>
      <c r="K357" s="444">
        <v>219</v>
      </c>
      <c r="L357" s="444">
        <v>0</v>
      </c>
      <c r="M357" s="444">
        <v>39</v>
      </c>
      <c r="N357" s="444">
        <v>0</v>
      </c>
      <c r="O357" s="444">
        <v>0</v>
      </c>
      <c r="P357" s="444">
        <v>0</v>
      </c>
      <c r="Q357" s="444">
        <v>0</v>
      </c>
      <c r="R357" s="444">
        <v>0</v>
      </c>
      <c r="S357" s="444">
        <v>0</v>
      </c>
      <c r="T357" s="444">
        <v>0</v>
      </c>
      <c r="U357" s="444">
        <v>0</v>
      </c>
      <c r="V357" s="444">
        <v>112</v>
      </c>
      <c r="W357" s="444">
        <v>9</v>
      </c>
      <c r="X357" s="418"/>
      <c r="Y357" s="445"/>
      <c r="Z357" s="420"/>
      <c r="AA357" s="421">
        <v>66.593000000000004</v>
      </c>
      <c r="AB357" s="421">
        <v>29.978000000000002</v>
      </c>
      <c r="AC357" s="454">
        <v>18</v>
      </c>
      <c r="AE357" s="419" t="s">
        <v>2253</v>
      </c>
      <c r="AF357" s="454">
        <v>1</v>
      </c>
      <c r="AG357" s="441">
        <v>43101</v>
      </c>
      <c r="AJ357" s="442">
        <v>43252</v>
      </c>
      <c r="AL357" s="424" t="s">
        <v>914</v>
      </c>
      <c r="AO357" s="445"/>
      <c r="AP357" s="454">
        <v>556658</v>
      </c>
      <c r="AQ357" s="443">
        <v>43172</v>
      </c>
      <c r="AT357" s="426"/>
      <c r="AU357" s="426"/>
      <c r="AV357" s="426"/>
      <c r="AY357" s="427" t="s">
        <v>1559</v>
      </c>
      <c r="AZ357" s="373"/>
      <c r="BB357" s="374" t="s">
        <v>2214</v>
      </c>
      <c r="BC357" s="445"/>
      <c r="BE357" s="448">
        <v>0</v>
      </c>
      <c r="BF357" s="449">
        <v>0</v>
      </c>
      <c r="BG357" s="428" t="s">
        <v>1764</v>
      </c>
      <c r="BH357" s="445"/>
      <c r="BI357" s="491"/>
      <c r="BJ357" s="491">
        <v>48</v>
      </c>
      <c r="BK357" s="445" t="s">
        <v>30</v>
      </c>
      <c r="BL357" s="419" t="s">
        <v>2868</v>
      </c>
      <c r="BM357" s="445"/>
      <c r="BN357" s="419" t="s">
        <v>1765</v>
      </c>
      <c r="BO357" s="419" t="s">
        <v>1765</v>
      </c>
      <c r="BP357" s="419" t="s">
        <v>1765</v>
      </c>
      <c r="BQ357" s="419" t="s">
        <v>1269</v>
      </c>
      <c r="BR357" s="419"/>
      <c r="BS357" s="419"/>
      <c r="BT357" s="445"/>
      <c r="BU357" s="445"/>
      <c r="BV357" s="445"/>
      <c r="BW357" s="445" t="s">
        <v>2209</v>
      </c>
      <c r="BX357" s="445"/>
      <c r="BY357" s="445"/>
    </row>
    <row r="358" spans="1:77" ht="15">
      <c r="A358" s="370" t="s">
        <v>1269</v>
      </c>
      <c r="B358" s="415" t="s">
        <v>216</v>
      </c>
      <c r="C358" s="416" t="s">
        <v>1682</v>
      </c>
      <c r="D358" s="444">
        <v>0</v>
      </c>
      <c r="E358" s="415" t="s">
        <v>1716</v>
      </c>
      <c r="F358" s="444">
        <v>3</v>
      </c>
      <c r="G358" s="415" t="s">
        <v>1661</v>
      </c>
      <c r="H358" s="444">
        <v>81</v>
      </c>
      <c r="I358" s="417" t="s">
        <v>1683</v>
      </c>
      <c r="J358" s="444">
        <v>4.4000000000000004</v>
      </c>
      <c r="K358" s="444">
        <v>383</v>
      </c>
      <c r="L358" s="444">
        <v>0</v>
      </c>
      <c r="M358" s="444">
        <v>34</v>
      </c>
      <c r="N358" s="444">
        <v>0</v>
      </c>
      <c r="O358" s="444">
        <v>0</v>
      </c>
      <c r="P358" s="444">
        <v>0</v>
      </c>
      <c r="Q358" s="444">
        <v>0</v>
      </c>
      <c r="R358" s="444">
        <v>0</v>
      </c>
      <c r="S358" s="444">
        <v>0</v>
      </c>
      <c r="T358" s="444">
        <v>0</v>
      </c>
      <c r="U358" s="444">
        <v>0</v>
      </c>
      <c r="V358" s="444">
        <v>88</v>
      </c>
      <c r="W358" s="444">
        <v>22</v>
      </c>
      <c r="X358" s="418"/>
      <c r="Y358" s="445"/>
      <c r="Z358" s="420"/>
      <c r="AA358" s="421">
        <v>68.847999999999999</v>
      </c>
      <c r="AB358" s="421">
        <v>29.978000000000002</v>
      </c>
      <c r="AC358" s="454">
        <v>19</v>
      </c>
      <c r="AE358" s="419" t="s">
        <v>2254</v>
      </c>
      <c r="AF358" s="454">
        <v>1</v>
      </c>
      <c r="AG358" s="441">
        <v>43101</v>
      </c>
      <c r="AJ358" s="442">
        <v>43252</v>
      </c>
      <c r="AL358" s="424" t="s">
        <v>1772</v>
      </c>
      <c r="AO358" s="445"/>
      <c r="AP358" s="454">
        <v>556658</v>
      </c>
      <c r="AQ358" s="443">
        <v>43172</v>
      </c>
      <c r="AT358" s="426"/>
      <c r="AU358" s="426"/>
      <c r="AV358" s="426"/>
      <c r="AY358" s="427" t="s">
        <v>1559</v>
      </c>
      <c r="AZ358" s="373"/>
      <c r="BB358" s="374" t="s">
        <v>2214</v>
      </c>
      <c r="BC358" s="445"/>
      <c r="BE358" s="448">
        <v>0</v>
      </c>
      <c r="BF358" s="449">
        <v>0</v>
      </c>
      <c r="BG358" s="428" t="s">
        <v>1764</v>
      </c>
      <c r="BH358" s="445"/>
      <c r="BI358" s="491"/>
      <c r="BJ358" s="491">
        <v>50</v>
      </c>
      <c r="BK358" s="445" t="s">
        <v>26</v>
      </c>
      <c r="BL358" s="419" t="s">
        <v>2871</v>
      </c>
      <c r="BM358" s="445"/>
      <c r="BN358" s="419" t="s">
        <v>1765</v>
      </c>
      <c r="BO358" s="419" t="s">
        <v>1765</v>
      </c>
      <c r="BP358" s="419" t="s">
        <v>1765</v>
      </c>
      <c r="BQ358" s="419" t="s">
        <v>1269</v>
      </c>
      <c r="BR358" s="419"/>
      <c r="BS358" s="419"/>
      <c r="BT358" s="445"/>
      <c r="BU358" s="445"/>
      <c r="BV358" s="445"/>
      <c r="BW358" s="445" t="s">
        <v>2209</v>
      </c>
      <c r="BX358" s="445"/>
      <c r="BY358" s="445"/>
    </row>
    <row r="359" spans="1:77" ht="15">
      <c r="A359" s="370" t="s">
        <v>1269</v>
      </c>
      <c r="B359" s="415" t="s">
        <v>216</v>
      </c>
      <c r="C359" s="416" t="s">
        <v>1682</v>
      </c>
      <c r="D359" s="444">
        <v>0</v>
      </c>
      <c r="E359" s="415" t="s">
        <v>1716</v>
      </c>
      <c r="F359" s="444">
        <v>3</v>
      </c>
      <c r="G359" s="415" t="s">
        <v>1661</v>
      </c>
      <c r="H359" s="444">
        <v>69</v>
      </c>
      <c r="I359" s="417" t="s">
        <v>1683</v>
      </c>
      <c r="J359" s="444">
        <v>8.1999999999999993</v>
      </c>
      <c r="K359" s="444">
        <v>419</v>
      </c>
      <c r="L359" s="444">
        <v>0</v>
      </c>
      <c r="M359" s="444">
        <v>0</v>
      </c>
      <c r="N359" s="444">
        <v>20</v>
      </c>
      <c r="O359" s="444">
        <v>0</v>
      </c>
      <c r="P359" s="444">
        <v>0</v>
      </c>
      <c r="Q359" s="444">
        <v>0</v>
      </c>
      <c r="R359" s="444">
        <v>0</v>
      </c>
      <c r="S359" s="444">
        <v>0</v>
      </c>
      <c r="T359" s="444">
        <v>0</v>
      </c>
      <c r="U359" s="444">
        <v>45</v>
      </c>
      <c r="V359" s="444">
        <v>0</v>
      </c>
      <c r="W359" s="444">
        <v>150</v>
      </c>
      <c r="X359" s="418"/>
      <c r="Y359" s="445"/>
      <c r="Z359" s="420"/>
      <c r="AA359" s="421">
        <v>74.903999999999996</v>
      </c>
      <c r="AB359" s="421">
        <v>29.978000000000002</v>
      </c>
      <c r="AC359" s="454">
        <v>16</v>
      </c>
      <c r="AE359" s="419" t="s">
        <v>2255</v>
      </c>
      <c r="AF359" s="454">
        <v>1</v>
      </c>
      <c r="AG359" s="441">
        <v>43101</v>
      </c>
      <c r="AJ359" s="442">
        <v>43252</v>
      </c>
      <c r="AL359" s="424" t="s">
        <v>1019</v>
      </c>
      <c r="AO359" s="445"/>
      <c r="AP359" s="454">
        <v>556663</v>
      </c>
      <c r="AQ359" s="443">
        <v>43182</v>
      </c>
      <c r="AT359" s="426"/>
      <c r="AU359" s="426"/>
      <c r="AV359" s="426"/>
      <c r="AY359" s="427" t="s">
        <v>1559</v>
      </c>
      <c r="AZ359" s="373"/>
      <c r="BB359" s="374" t="s">
        <v>2214</v>
      </c>
      <c r="BC359" s="445"/>
      <c r="BE359" s="448">
        <v>0</v>
      </c>
      <c r="BF359" s="449">
        <v>0</v>
      </c>
      <c r="BG359" s="428" t="s">
        <v>1764</v>
      </c>
      <c r="BH359" s="445"/>
      <c r="BI359" s="491"/>
      <c r="BJ359" s="491">
        <v>51</v>
      </c>
      <c r="BK359" s="445" t="s">
        <v>38</v>
      </c>
      <c r="BL359" s="419" t="s">
        <v>2872</v>
      </c>
      <c r="BM359" s="445"/>
      <c r="BN359" s="419" t="s">
        <v>1765</v>
      </c>
      <c r="BO359" s="419" t="s">
        <v>1765</v>
      </c>
      <c r="BP359" s="419" t="s">
        <v>1765</v>
      </c>
      <c r="BQ359" s="419" t="s">
        <v>1269</v>
      </c>
      <c r="BR359" s="419"/>
      <c r="BS359" s="419"/>
      <c r="BT359" s="445"/>
      <c r="BU359" s="445"/>
      <c r="BV359" s="445"/>
      <c r="BW359" s="445" t="s">
        <v>2209</v>
      </c>
      <c r="BX359" s="445"/>
      <c r="BY359" s="445"/>
    </row>
    <row r="360" spans="1:77" ht="15">
      <c r="A360" s="370" t="s">
        <v>1269</v>
      </c>
      <c r="B360" s="415" t="s">
        <v>216</v>
      </c>
      <c r="C360" s="416" t="s">
        <v>1682</v>
      </c>
      <c r="D360" s="444">
        <v>0</v>
      </c>
      <c r="E360" s="415" t="s">
        <v>1716</v>
      </c>
      <c r="F360" s="444">
        <v>3</v>
      </c>
      <c r="G360" s="415" t="s">
        <v>1661</v>
      </c>
      <c r="H360" s="444">
        <v>95</v>
      </c>
      <c r="I360" s="417" t="s">
        <v>1770</v>
      </c>
      <c r="J360" s="444">
        <v>1.1000000000000001</v>
      </c>
      <c r="K360" s="444">
        <v>141</v>
      </c>
      <c r="L360" s="444">
        <v>0</v>
      </c>
      <c r="M360" s="444">
        <v>0</v>
      </c>
      <c r="N360" s="444">
        <v>7</v>
      </c>
      <c r="O360" s="444">
        <v>0</v>
      </c>
      <c r="P360" s="444">
        <v>0</v>
      </c>
      <c r="Q360" s="444">
        <v>0</v>
      </c>
      <c r="R360" s="444">
        <v>0</v>
      </c>
      <c r="S360" s="444">
        <v>0</v>
      </c>
      <c r="T360" s="444">
        <v>0</v>
      </c>
      <c r="U360" s="444">
        <v>7</v>
      </c>
      <c r="V360" s="444">
        <v>0</v>
      </c>
      <c r="W360" s="444">
        <v>64</v>
      </c>
      <c r="X360" s="418"/>
      <c r="Y360" s="445"/>
      <c r="Z360" s="420"/>
      <c r="AA360" s="421">
        <v>74.328000000000003</v>
      </c>
      <c r="AB360" s="421">
        <v>29.978000000000002</v>
      </c>
      <c r="AC360" s="454">
        <v>5</v>
      </c>
      <c r="AE360" s="419" t="s">
        <v>2256</v>
      </c>
      <c r="AF360" s="454">
        <v>1</v>
      </c>
      <c r="AG360" s="441">
        <v>43101</v>
      </c>
      <c r="AJ360" s="442">
        <v>43252</v>
      </c>
      <c r="AL360" s="424" t="s">
        <v>1019</v>
      </c>
      <c r="AO360" s="445"/>
      <c r="AP360" s="454">
        <v>556663</v>
      </c>
      <c r="AQ360" s="443">
        <v>43182</v>
      </c>
      <c r="AT360" s="426"/>
      <c r="AU360" s="426"/>
      <c r="AV360" s="426"/>
      <c r="AY360" s="427" t="s">
        <v>1559</v>
      </c>
      <c r="AZ360" s="373"/>
      <c r="BB360" s="374" t="s">
        <v>2214</v>
      </c>
      <c r="BC360" s="445"/>
      <c r="BE360" s="448">
        <v>0</v>
      </c>
      <c r="BF360" s="449">
        <v>0</v>
      </c>
      <c r="BG360" s="428" t="s">
        <v>1764</v>
      </c>
      <c r="BH360" s="445"/>
      <c r="BI360" s="491"/>
      <c r="BJ360" s="491">
        <v>52</v>
      </c>
      <c r="BK360" s="445" t="s">
        <v>2873</v>
      </c>
      <c r="BL360" s="419" t="s">
        <v>2874</v>
      </c>
      <c r="BM360" s="445"/>
      <c r="BN360" s="419" t="s">
        <v>1765</v>
      </c>
      <c r="BO360" s="419" t="s">
        <v>1765</v>
      </c>
      <c r="BP360" s="419" t="s">
        <v>1765</v>
      </c>
      <c r="BQ360" s="419" t="s">
        <v>1269</v>
      </c>
      <c r="BR360" s="419"/>
      <c r="BS360" s="419"/>
      <c r="BT360" s="445"/>
      <c r="BU360" s="445"/>
      <c r="BV360" s="445"/>
      <c r="BW360" s="445" t="s">
        <v>2209</v>
      </c>
      <c r="BX360" s="445"/>
      <c r="BY360" s="445"/>
    </row>
    <row r="361" spans="1:77" ht="15">
      <c r="A361" s="370" t="s">
        <v>1269</v>
      </c>
      <c r="B361" s="415" t="s">
        <v>216</v>
      </c>
      <c r="C361" s="416" t="s">
        <v>1682</v>
      </c>
      <c r="D361" s="444">
        <v>0</v>
      </c>
      <c r="E361" s="415" t="s">
        <v>1716</v>
      </c>
      <c r="F361" s="444">
        <v>3</v>
      </c>
      <c r="G361" s="415" t="s">
        <v>1661</v>
      </c>
      <c r="H361" s="444">
        <v>99</v>
      </c>
      <c r="I361" s="417" t="s">
        <v>1632</v>
      </c>
      <c r="J361" s="444">
        <v>1.3</v>
      </c>
      <c r="K361" s="444">
        <v>151</v>
      </c>
      <c r="L361" s="444">
        <v>0</v>
      </c>
      <c r="M361" s="444">
        <v>0</v>
      </c>
      <c r="N361" s="444">
        <v>12</v>
      </c>
      <c r="O361" s="444">
        <v>0</v>
      </c>
      <c r="P361" s="444">
        <v>0</v>
      </c>
      <c r="Q361" s="444">
        <v>0</v>
      </c>
      <c r="R361" s="444">
        <v>0</v>
      </c>
      <c r="S361" s="444">
        <v>0</v>
      </c>
      <c r="T361" s="444">
        <v>0</v>
      </c>
      <c r="U361" s="444">
        <v>7</v>
      </c>
      <c r="V361" s="444">
        <v>0</v>
      </c>
      <c r="W361" s="444">
        <v>81</v>
      </c>
      <c r="X361" s="418"/>
      <c r="Y361" s="445"/>
      <c r="Z361" s="420"/>
      <c r="AA361" s="421">
        <v>69.891999999999996</v>
      </c>
      <c r="AB361" s="421">
        <v>29.978000000000002</v>
      </c>
      <c r="AC361" s="454">
        <v>7</v>
      </c>
      <c r="AE361" s="419" t="s">
        <v>2257</v>
      </c>
      <c r="AF361" s="454">
        <v>1</v>
      </c>
      <c r="AG361" s="441">
        <v>43101</v>
      </c>
      <c r="AJ361" s="442">
        <v>43252</v>
      </c>
      <c r="AL361" s="424" t="s">
        <v>1019</v>
      </c>
      <c r="AO361" s="445"/>
      <c r="AP361" s="454">
        <v>556663</v>
      </c>
      <c r="AQ361" s="443">
        <v>43182</v>
      </c>
      <c r="AT361" s="426"/>
      <c r="AU361" s="426"/>
      <c r="AV361" s="426"/>
      <c r="AY361" s="427" t="s">
        <v>1559</v>
      </c>
      <c r="AZ361" s="373"/>
      <c r="BB361" s="374" t="s">
        <v>2214</v>
      </c>
      <c r="BC361" s="445"/>
      <c r="BE361" s="448">
        <v>0</v>
      </c>
      <c r="BF361" s="449">
        <v>0</v>
      </c>
      <c r="BG361" s="428" t="s">
        <v>1764</v>
      </c>
      <c r="BH361" s="445"/>
      <c r="BI361" s="491"/>
      <c r="BJ361" s="491">
        <v>53</v>
      </c>
      <c r="BK361" s="445" t="s">
        <v>297</v>
      </c>
      <c r="BL361" s="419" t="s">
        <v>2875</v>
      </c>
      <c r="BM361" s="445"/>
      <c r="BN361" s="419" t="s">
        <v>1765</v>
      </c>
      <c r="BO361" s="419" t="s">
        <v>1765</v>
      </c>
      <c r="BP361" s="419" t="s">
        <v>1765</v>
      </c>
      <c r="BQ361" s="419" t="s">
        <v>1269</v>
      </c>
      <c r="BR361" s="419"/>
      <c r="BS361" s="419"/>
      <c r="BT361" s="445"/>
      <c r="BU361" s="445"/>
      <c r="BV361" s="445"/>
      <c r="BW361" s="445" t="s">
        <v>2209</v>
      </c>
      <c r="BX361" s="445"/>
      <c r="BY361" s="445"/>
    </row>
    <row r="362" spans="1:77" ht="15">
      <c r="A362" s="370" t="s">
        <v>1269</v>
      </c>
      <c r="B362" s="415" t="s">
        <v>216</v>
      </c>
      <c r="C362" s="416" t="s">
        <v>1682</v>
      </c>
      <c r="D362" s="444">
        <v>0</v>
      </c>
      <c r="E362" s="415" t="s">
        <v>1716</v>
      </c>
      <c r="F362" s="444">
        <v>3</v>
      </c>
      <c r="G362" s="415" t="s">
        <v>1661</v>
      </c>
      <c r="H362" s="444">
        <v>113</v>
      </c>
      <c r="I362" s="417" t="s">
        <v>1687</v>
      </c>
      <c r="J362" s="444">
        <v>6.5</v>
      </c>
      <c r="K362" s="444">
        <v>283</v>
      </c>
      <c r="L362" s="444">
        <v>0</v>
      </c>
      <c r="M362" s="444">
        <v>0</v>
      </c>
      <c r="N362" s="444">
        <v>23</v>
      </c>
      <c r="O362" s="444">
        <v>0</v>
      </c>
      <c r="P362" s="444">
        <v>0</v>
      </c>
      <c r="Q362" s="444">
        <v>0</v>
      </c>
      <c r="R362" s="444">
        <v>0</v>
      </c>
      <c r="S362" s="444">
        <v>0</v>
      </c>
      <c r="T362" s="444">
        <v>0</v>
      </c>
      <c r="U362" s="444">
        <v>0</v>
      </c>
      <c r="V362" s="444">
        <v>0</v>
      </c>
      <c r="W362" s="444">
        <v>143</v>
      </c>
      <c r="X362" s="418"/>
      <c r="Y362" s="445"/>
      <c r="Z362" s="420"/>
      <c r="AA362" s="421">
        <v>72.131</v>
      </c>
      <c r="AB362" s="421">
        <v>29.978000000000002</v>
      </c>
      <c r="AC362" s="454">
        <v>10</v>
      </c>
      <c r="AE362" s="419" t="s">
        <v>2258</v>
      </c>
      <c r="AF362" s="454">
        <v>1</v>
      </c>
      <c r="AG362" s="441">
        <v>43101</v>
      </c>
      <c r="AJ362" s="442">
        <v>43252</v>
      </c>
      <c r="AL362" s="424" t="s">
        <v>2071</v>
      </c>
      <c r="AO362" s="445"/>
      <c r="AP362" s="454">
        <v>556663</v>
      </c>
      <c r="AQ362" s="443">
        <v>43182</v>
      </c>
      <c r="AT362" s="426"/>
      <c r="AU362" s="426"/>
      <c r="AV362" s="426"/>
      <c r="AY362" s="427" t="s">
        <v>1559</v>
      </c>
      <c r="AZ362" s="373"/>
      <c r="BB362" s="374" t="s">
        <v>2214</v>
      </c>
      <c r="BC362" s="445"/>
      <c r="BE362" s="448">
        <v>0</v>
      </c>
      <c r="BF362" s="449">
        <v>0</v>
      </c>
      <c r="BG362" s="428" t="s">
        <v>1764</v>
      </c>
      <c r="BH362" s="445"/>
      <c r="BI362" s="491"/>
      <c r="BJ362" s="491">
        <v>54</v>
      </c>
      <c r="BK362" s="445" t="s">
        <v>2876</v>
      </c>
      <c r="BL362" s="419" t="s">
        <v>2877</v>
      </c>
      <c r="BM362" s="445"/>
      <c r="BN362" s="419" t="s">
        <v>1765</v>
      </c>
      <c r="BO362" s="419" t="s">
        <v>1765</v>
      </c>
      <c r="BP362" s="419" t="s">
        <v>1765</v>
      </c>
      <c r="BQ362" s="419" t="s">
        <v>1269</v>
      </c>
      <c r="BR362" s="419"/>
      <c r="BS362" s="419"/>
      <c r="BT362" s="445"/>
      <c r="BU362" s="445"/>
      <c r="BV362" s="445"/>
      <c r="BW362" s="445" t="s">
        <v>2209</v>
      </c>
      <c r="BX362" s="445"/>
      <c r="BY362" s="445"/>
    </row>
    <row r="363" spans="1:77" ht="15">
      <c r="A363" s="370" t="s">
        <v>1269</v>
      </c>
      <c r="B363" s="415" t="s">
        <v>216</v>
      </c>
      <c r="C363" s="416" t="s">
        <v>1767</v>
      </c>
      <c r="D363" s="444">
        <v>0</v>
      </c>
      <c r="E363" s="415" t="s">
        <v>1716</v>
      </c>
      <c r="F363" s="444">
        <v>3</v>
      </c>
      <c r="G363" s="415" t="s">
        <v>1661</v>
      </c>
      <c r="H363" s="444">
        <v>54</v>
      </c>
      <c r="I363" s="417" t="s">
        <v>1428</v>
      </c>
      <c r="J363" s="444">
        <v>0.6</v>
      </c>
      <c r="K363" s="444">
        <v>100</v>
      </c>
      <c r="L363" s="444">
        <v>0</v>
      </c>
      <c r="M363" s="444">
        <v>0</v>
      </c>
      <c r="N363" s="444">
        <v>0</v>
      </c>
      <c r="O363" s="444">
        <v>0</v>
      </c>
      <c r="P363" s="444">
        <v>0</v>
      </c>
      <c r="Q363" s="444">
        <v>0</v>
      </c>
      <c r="R363" s="444">
        <v>0</v>
      </c>
      <c r="S363" s="444">
        <v>11</v>
      </c>
      <c r="T363" s="444">
        <v>0</v>
      </c>
      <c r="U363" s="444">
        <v>0</v>
      </c>
      <c r="V363" s="444">
        <v>0</v>
      </c>
      <c r="W363" s="444">
        <v>0</v>
      </c>
      <c r="X363" s="418"/>
      <c r="Y363" s="445"/>
      <c r="Z363" s="420"/>
      <c r="AA363" s="421">
        <v>124.06</v>
      </c>
      <c r="AB363" s="421">
        <v>29.978000000000002</v>
      </c>
      <c r="AC363" s="454">
        <v>1</v>
      </c>
      <c r="AE363" s="419" t="s">
        <v>2259</v>
      </c>
      <c r="AF363" s="454">
        <v>1</v>
      </c>
      <c r="AG363" s="441">
        <v>43101</v>
      </c>
      <c r="AJ363" s="442">
        <v>43252</v>
      </c>
      <c r="AL363" s="424" t="s">
        <v>914</v>
      </c>
      <c r="AO363" s="445"/>
      <c r="AP363" s="454">
        <v>556702</v>
      </c>
      <c r="AQ363" s="443">
        <v>43234</v>
      </c>
      <c r="AT363" s="426"/>
      <c r="AU363" s="426"/>
      <c r="AV363" s="426"/>
      <c r="AY363" s="427" t="s">
        <v>1559</v>
      </c>
      <c r="AZ363" s="373"/>
      <c r="BB363" s="374" t="s">
        <v>2214</v>
      </c>
      <c r="BC363" s="445"/>
      <c r="BE363" s="448">
        <v>0</v>
      </c>
      <c r="BF363" s="449">
        <v>0</v>
      </c>
      <c r="BG363" s="428" t="s">
        <v>1764</v>
      </c>
      <c r="BH363" s="445"/>
      <c r="BI363" s="491"/>
      <c r="BJ363" s="491">
        <v>61</v>
      </c>
      <c r="BK363" s="445" t="s">
        <v>3014</v>
      </c>
      <c r="BL363" s="419" t="s">
        <v>3015</v>
      </c>
      <c r="BM363" s="445"/>
      <c r="BN363" s="419" t="s">
        <v>1765</v>
      </c>
      <c r="BO363" s="419" t="s">
        <v>1765</v>
      </c>
      <c r="BP363" s="419" t="s">
        <v>1765</v>
      </c>
      <c r="BQ363" s="419" t="s">
        <v>1269</v>
      </c>
      <c r="BR363" s="419"/>
      <c r="BS363" s="419"/>
      <c r="BT363" s="445"/>
      <c r="BU363" s="445"/>
      <c r="BV363" s="445"/>
      <c r="BW363" s="445" t="s">
        <v>2209</v>
      </c>
      <c r="BX363" s="445"/>
      <c r="BY363" s="445"/>
    </row>
    <row r="364" spans="1:77" ht="15">
      <c r="A364" s="370" t="s">
        <v>1269</v>
      </c>
      <c r="B364" s="415" t="s">
        <v>216</v>
      </c>
      <c r="C364" s="416" t="s">
        <v>1767</v>
      </c>
      <c r="D364" s="444">
        <v>0</v>
      </c>
      <c r="E364" s="415" t="s">
        <v>1716</v>
      </c>
      <c r="F364" s="444">
        <v>3</v>
      </c>
      <c r="G364" s="415" t="s">
        <v>1661</v>
      </c>
      <c r="H364" s="444">
        <v>55</v>
      </c>
      <c r="I364" s="417" t="s">
        <v>1422</v>
      </c>
      <c r="J364" s="444">
        <v>2</v>
      </c>
      <c r="K364" s="444">
        <v>248</v>
      </c>
      <c r="L364" s="444">
        <v>0</v>
      </c>
      <c r="M364" s="444">
        <v>16</v>
      </c>
      <c r="N364" s="444">
        <v>0</v>
      </c>
      <c r="O364" s="444">
        <v>0</v>
      </c>
      <c r="P364" s="444">
        <v>0</v>
      </c>
      <c r="Q364" s="444">
        <v>0</v>
      </c>
      <c r="R364" s="444">
        <v>0</v>
      </c>
      <c r="S364" s="444">
        <v>51</v>
      </c>
      <c r="T364" s="444">
        <v>1</v>
      </c>
      <c r="U364" s="444">
        <v>0</v>
      </c>
      <c r="V364" s="444">
        <v>0</v>
      </c>
      <c r="W364" s="444">
        <v>0</v>
      </c>
      <c r="X364" s="418"/>
      <c r="Y364" s="445"/>
      <c r="Z364" s="420"/>
      <c r="AA364" s="421">
        <v>75.216999999999999</v>
      </c>
      <c r="AB364" s="421">
        <v>29.978000000000002</v>
      </c>
      <c r="AC364" s="454">
        <v>1</v>
      </c>
      <c r="AE364" s="419" t="s">
        <v>2260</v>
      </c>
      <c r="AF364" s="454">
        <v>1</v>
      </c>
      <c r="AG364" s="441">
        <v>43101</v>
      </c>
      <c r="AJ364" s="442">
        <v>43252</v>
      </c>
      <c r="AL364" s="424" t="s">
        <v>914</v>
      </c>
      <c r="AO364" s="445"/>
      <c r="AP364" s="454">
        <v>556702</v>
      </c>
      <c r="AQ364" s="443">
        <v>43234</v>
      </c>
      <c r="AT364" s="426"/>
      <c r="AU364" s="426"/>
      <c r="AV364" s="426"/>
      <c r="AY364" s="427" t="s">
        <v>1559</v>
      </c>
      <c r="AZ364" s="373"/>
      <c r="BB364" s="374" t="s">
        <v>2214</v>
      </c>
      <c r="BC364" s="445"/>
      <c r="BE364" s="448">
        <v>0</v>
      </c>
      <c r="BF364" s="449">
        <v>0</v>
      </c>
      <c r="BG364" s="428" t="s">
        <v>1764</v>
      </c>
      <c r="BH364" s="445"/>
      <c r="BI364" s="491"/>
      <c r="BJ364" s="491">
        <v>63</v>
      </c>
      <c r="BK364" s="445" t="s">
        <v>3018</v>
      </c>
      <c r="BL364" s="419" t="s">
        <v>3019</v>
      </c>
      <c r="BM364" s="445"/>
      <c r="BN364" s="419" t="s">
        <v>1765</v>
      </c>
      <c r="BO364" s="419" t="s">
        <v>1765</v>
      </c>
      <c r="BP364" s="419" t="s">
        <v>1765</v>
      </c>
      <c r="BQ364" s="419" t="s">
        <v>1269</v>
      </c>
      <c r="BR364" s="419"/>
      <c r="BS364" s="419"/>
      <c r="BT364" s="445"/>
      <c r="BU364" s="445"/>
      <c r="BV364" s="445"/>
      <c r="BW364" s="445" t="s">
        <v>2209</v>
      </c>
      <c r="BX364" s="445"/>
      <c r="BY364" s="445"/>
    </row>
    <row r="365" spans="1:77" ht="15">
      <c r="A365" s="370" t="s">
        <v>1269</v>
      </c>
      <c r="B365" s="415" t="s">
        <v>216</v>
      </c>
      <c r="C365" s="416" t="s">
        <v>1767</v>
      </c>
      <c r="D365" s="444">
        <v>0</v>
      </c>
      <c r="E365" s="415" t="s">
        <v>1716</v>
      </c>
      <c r="F365" s="444">
        <v>3</v>
      </c>
      <c r="G365" s="415" t="s">
        <v>1661</v>
      </c>
      <c r="H365" s="444">
        <v>58</v>
      </c>
      <c r="I365" s="417" t="s">
        <v>1531</v>
      </c>
      <c r="J365" s="444">
        <v>0.3</v>
      </c>
      <c r="K365" s="444">
        <v>14</v>
      </c>
      <c r="L365" s="444">
        <v>0</v>
      </c>
      <c r="M365" s="444">
        <v>4</v>
      </c>
      <c r="N365" s="444">
        <v>0</v>
      </c>
      <c r="O365" s="444">
        <v>0</v>
      </c>
      <c r="P365" s="444">
        <v>0</v>
      </c>
      <c r="Q365" s="444">
        <v>0</v>
      </c>
      <c r="R365" s="444">
        <v>0</v>
      </c>
      <c r="S365" s="444">
        <v>7</v>
      </c>
      <c r="T365" s="444">
        <v>1</v>
      </c>
      <c r="U365" s="444">
        <v>0</v>
      </c>
      <c r="V365" s="444">
        <v>0</v>
      </c>
      <c r="W365" s="444">
        <v>0</v>
      </c>
      <c r="X365" s="418"/>
      <c r="Y365" s="445"/>
      <c r="Z365" s="420"/>
      <c r="AA365" s="421">
        <v>53.835000000000001</v>
      </c>
      <c r="AB365" s="421">
        <v>29.978000000000002</v>
      </c>
      <c r="AC365" s="454">
        <v>1</v>
      </c>
      <c r="AE365" s="419" t="s">
        <v>2261</v>
      </c>
      <c r="AF365" s="454">
        <v>1</v>
      </c>
      <c r="AG365" s="441">
        <v>43101</v>
      </c>
      <c r="AJ365" s="442">
        <v>43252</v>
      </c>
      <c r="AL365" s="424" t="s">
        <v>1019</v>
      </c>
      <c r="AO365" s="445"/>
      <c r="AP365" s="454">
        <v>556702</v>
      </c>
      <c r="AQ365" s="443">
        <v>43234</v>
      </c>
      <c r="AT365" s="426"/>
      <c r="AU365" s="426"/>
      <c r="AV365" s="426"/>
      <c r="AY365" s="427" t="s">
        <v>1559</v>
      </c>
      <c r="AZ365" s="373"/>
      <c r="BB365" s="374" t="s">
        <v>2214</v>
      </c>
      <c r="BC365" s="445"/>
      <c r="BE365" s="448">
        <v>0</v>
      </c>
      <c r="BF365" s="449">
        <v>0</v>
      </c>
      <c r="BG365" s="428" t="s">
        <v>1764</v>
      </c>
      <c r="BH365" s="445"/>
      <c r="BI365" s="491"/>
      <c r="BJ365" s="491">
        <v>70</v>
      </c>
      <c r="BK365" s="445" t="s">
        <v>2999</v>
      </c>
      <c r="BL365" s="419" t="s">
        <v>3000</v>
      </c>
      <c r="BM365" s="445"/>
      <c r="BN365" s="419" t="s">
        <v>1765</v>
      </c>
      <c r="BO365" s="419" t="s">
        <v>1765</v>
      </c>
      <c r="BP365" s="419" t="s">
        <v>1765</v>
      </c>
      <c r="BQ365" s="419" t="s">
        <v>1269</v>
      </c>
      <c r="BR365" s="419"/>
      <c r="BS365" s="419"/>
      <c r="BT365" s="445"/>
      <c r="BU365" s="445"/>
      <c r="BV365" s="445"/>
      <c r="BW365" s="445" t="s">
        <v>2209</v>
      </c>
      <c r="BX365" s="445"/>
      <c r="BY365" s="445"/>
    </row>
    <row r="366" spans="1:77" ht="15">
      <c r="A366" s="370" t="s">
        <v>1269</v>
      </c>
      <c r="B366" s="415" t="s">
        <v>216</v>
      </c>
      <c r="C366" s="416" t="s">
        <v>1767</v>
      </c>
      <c r="D366" s="444">
        <v>0</v>
      </c>
      <c r="E366" s="415" t="s">
        <v>1716</v>
      </c>
      <c r="F366" s="444">
        <v>3</v>
      </c>
      <c r="G366" s="415" t="s">
        <v>1661</v>
      </c>
      <c r="H366" s="444">
        <v>67</v>
      </c>
      <c r="I366" s="417" t="s">
        <v>1663</v>
      </c>
      <c r="J366" s="444">
        <v>0.2</v>
      </c>
      <c r="K366" s="444">
        <v>3</v>
      </c>
      <c r="L366" s="444">
        <v>0</v>
      </c>
      <c r="M366" s="444">
        <v>1</v>
      </c>
      <c r="N366" s="444">
        <v>0</v>
      </c>
      <c r="O366" s="444">
        <v>0</v>
      </c>
      <c r="P366" s="444">
        <v>0</v>
      </c>
      <c r="Q366" s="444">
        <v>0</v>
      </c>
      <c r="R366" s="444">
        <v>0</v>
      </c>
      <c r="S366" s="444">
        <v>3</v>
      </c>
      <c r="T366" s="444">
        <v>0</v>
      </c>
      <c r="U366" s="444">
        <v>0</v>
      </c>
      <c r="V366" s="444">
        <v>0</v>
      </c>
      <c r="W366" s="444">
        <v>0</v>
      </c>
      <c r="X366" s="418"/>
      <c r="Y366" s="445"/>
      <c r="Z366" s="420"/>
      <c r="AA366" s="421">
        <v>54.204000000000001</v>
      </c>
      <c r="AB366" s="421">
        <v>29.978000000000002</v>
      </c>
      <c r="AC366" s="454">
        <v>1</v>
      </c>
      <c r="AE366" s="419" t="s">
        <v>2262</v>
      </c>
      <c r="AF366" s="454">
        <v>1</v>
      </c>
      <c r="AG366" s="441">
        <v>43101</v>
      </c>
      <c r="AJ366" s="442">
        <v>43252</v>
      </c>
      <c r="AL366" s="424" t="s">
        <v>1019</v>
      </c>
      <c r="AO366" s="445"/>
      <c r="AP366" s="454">
        <v>556702</v>
      </c>
      <c r="AQ366" s="443">
        <v>43234</v>
      </c>
      <c r="AT366" s="426"/>
      <c r="AU366" s="426"/>
      <c r="AV366" s="426"/>
      <c r="AY366" s="427" t="s">
        <v>1559</v>
      </c>
      <c r="AZ366" s="373"/>
      <c r="BB366" s="374" t="s">
        <v>2214</v>
      </c>
      <c r="BC366" s="445"/>
      <c r="BE366" s="448">
        <v>0</v>
      </c>
      <c r="BF366" s="449">
        <v>0</v>
      </c>
      <c r="BG366" s="428" t="s">
        <v>1764</v>
      </c>
      <c r="BH366" s="445"/>
      <c r="BI366" s="491"/>
      <c r="BJ366" s="491">
        <v>71</v>
      </c>
      <c r="BK366" s="445" t="s">
        <v>2997</v>
      </c>
      <c r="BL366" s="419" t="s">
        <v>2998</v>
      </c>
      <c r="BM366" s="445"/>
      <c r="BN366" s="419" t="s">
        <v>1765</v>
      </c>
      <c r="BO366" s="419" t="s">
        <v>1765</v>
      </c>
      <c r="BP366" s="419" t="s">
        <v>1765</v>
      </c>
      <c r="BQ366" s="419" t="s">
        <v>1269</v>
      </c>
      <c r="BR366" s="419"/>
      <c r="BS366" s="419"/>
      <c r="BT366" s="445"/>
      <c r="BU366" s="445"/>
      <c r="BV366" s="445"/>
      <c r="BW366" s="445" t="s">
        <v>2209</v>
      </c>
      <c r="BX366" s="445"/>
      <c r="BY366" s="445"/>
    </row>
    <row r="367" spans="1:77" ht="15">
      <c r="A367" s="370" t="s">
        <v>31</v>
      </c>
      <c r="B367" s="415" t="s">
        <v>19</v>
      </c>
      <c r="C367" s="416" t="s">
        <v>31</v>
      </c>
      <c r="D367" s="444">
        <v>0</v>
      </c>
      <c r="E367" s="415" t="s">
        <v>1716</v>
      </c>
      <c r="F367" s="444">
        <v>3</v>
      </c>
      <c r="G367" s="415" t="s">
        <v>1661</v>
      </c>
      <c r="H367" s="444">
        <v>21</v>
      </c>
      <c r="I367" s="417" t="s">
        <v>1632</v>
      </c>
      <c r="J367" s="444">
        <v>1</v>
      </c>
      <c r="K367" s="444">
        <v>366</v>
      </c>
      <c r="L367" s="444">
        <v>0</v>
      </c>
      <c r="M367" s="444">
        <v>0</v>
      </c>
      <c r="N367" s="444">
        <v>140</v>
      </c>
      <c r="O367" s="444">
        <v>0</v>
      </c>
      <c r="P367" s="444">
        <v>0</v>
      </c>
      <c r="Q367" s="444">
        <v>30</v>
      </c>
      <c r="R367" s="444">
        <v>7</v>
      </c>
      <c r="S367" s="444">
        <v>2</v>
      </c>
      <c r="T367" s="444">
        <v>139</v>
      </c>
      <c r="U367" s="444">
        <v>2</v>
      </c>
      <c r="V367" s="444">
        <v>1</v>
      </c>
      <c r="W367" s="444">
        <v>96</v>
      </c>
      <c r="X367" s="418"/>
      <c r="Y367" s="445"/>
      <c r="Z367" s="420"/>
      <c r="AA367" s="421">
        <v>72.188000000000002</v>
      </c>
      <c r="AB367" s="421">
        <v>29.172000000000001</v>
      </c>
      <c r="AC367" s="454">
        <v>22</v>
      </c>
      <c r="AE367" s="419" t="s">
        <v>2263</v>
      </c>
      <c r="AF367" s="454">
        <v>1</v>
      </c>
      <c r="AG367" s="441">
        <v>43101</v>
      </c>
      <c r="AJ367" s="442">
        <v>43252</v>
      </c>
      <c r="AL367" s="424" t="s">
        <v>927</v>
      </c>
      <c r="AO367" s="445"/>
      <c r="AP367" s="454">
        <v>556620</v>
      </c>
      <c r="AQ367" s="443" t="s">
        <v>1719</v>
      </c>
      <c r="AT367" s="426"/>
      <c r="AU367" s="426"/>
      <c r="AV367" s="426"/>
      <c r="AY367" s="427" t="s">
        <v>1559</v>
      </c>
      <c r="AZ367" s="373"/>
      <c r="BB367" s="374" t="s">
        <v>2214</v>
      </c>
      <c r="BC367" s="445"/>
      <c r="BE367" s="448">
        <v>5</v>
      </c>
      <c r="BF367" s="449">
        <v>40</v>
      </c>
      <c r="BG367" s="428" t="s">
        <v>1764</v>
      </c>
      <c r="BH367" s="445"/>
      <c r="BI367" s="491"/>
      <c r="BJ367" s="491">
        <v>1</v>
      </c>
      <c r="BK367" s="445" t="s">
        <v>1793</v>
      </c>
      <c r="BL367" s="419" t="s">
        <v>2625</v>
      </c>
      <c r="BM367" s="445"/>
      <c r="BN367" s="419" t="s">
        <v>1765</v>
      </c>
      <c r="BO367" s="419" t="s">
        <v>1765</v>
      </c>
      <c r="BP367" s="419" t="s">
        <v>1765</v>
      </c>
      <c r="BQ367" s="419" t="s">
        <v>31</v>
      </c>
      <c r="BR367" s="419"/>
      <c r="BS367" s="419"/>
      <c r="BT367" s="445"/>
      <c r="BU367" s="445"/>
      <c r="BV367" s="445"/>
      <c r="BW367" s="445" t="s">
        <v>2209</v>
      </c>
      <c r="BX367" s="445"/>
      <c r="BY367" s="445"/>
    </row>
    <row r="368" spans="1:77" ht="15">
      <c r="A368" s="370" t="s">
        <v>31</v>
      </c>
      <c r="B368" s="415" t="s">
        <v>19</v>
      </c>
      <c r="C368" s="416" t="s">
        <v>31</v>
      </c>
      <c r="D368" s="444">
        <v>0</v>
      </c>
      <c r="E368" s="415" t="s">
        <v>1718</v>
      </c>
      <c r="F368" s="444">
        <v>2</v>
      </c>
      <c r="G368" s="415" t="s">
        <v>1661</v>
      </c>
      <c r="H368" s="444">
        <v>55</v>
      </c>
      <c r="I368" s="417" t="s">
        <v>1685</v>
      </c>
      <c r="J368" s="444">
        <v>0.3</v>
      </c>
      <c r="K368" s="444">
        <v>111</v>
      </c>
      <c r="L368" s="444">
        <v>0</v>
      </c>
      <c r="M368" s="444">
        <v>0</v>
      </c>
      <c r="N368" s="444">
        <v>24</v>
      </c>
      <c r="O368" s="444">
        <v>0</v>
      </c>
      <c r="P368" s="444">
        <v>0</v>
      </c>
      <c r="Q368" s="444">
        <v>0</v>
      </c>
      <c r="R368" s="444">
        <v>15</v>
      </c>
      <c r="S368" s="444">
        <v>0</v>
      </c>
      <c r="T368" s="444">
        <v>18</v>
      </c>
      <c r="U368" s="444">
        <v>4</v>
      </c>
      <c r="V368" s="444">
        <v>0</v>
      </c>
      <c r="W368" s="444">
        <v>13</v>
      </c>
      <c r="X368" s="418"/>
      <c r="Y368" s="445"/>
      <c r="Z368" s="420"/>
      <c r="AA368" s="421">
        <v>82.066000000000003</v>
      </c>
      <c r="AB368" s="421">
        <v>38.347000000000001</v>
      </c>
      <c r="AC368" s="454">
        <v>6</v>
      </c>
      <c r="AE368" s="419" t="s">
        <v>2264</v>
      </c>
      <c r="AF368" s="454">
        <v>1</v>
      </c>
      <c r="AG368" s="441">
        <v>43101</v>
      </c>
      <c r="AJ368" s="442">
        <v>43252</v>
      </c>
      <c r="AL368" s="424" t="s">
        <v>1001</v>
      </c>
      <c r="AO368" s="445"/>
      <c r="AP368" s="454">
        <v>556620</v>
      </c>
      <c r="AQ368" s="443" t="s">
        <v>1719</v>
      </c>
      <c r="AT368" s="426"/>
      <c r="AU368" s="426"/>
      <c r="AV368" s="426"/>
      <c r="AY368" s="427" t="s">
        <v>1559</v>
      </c>
      <c r="AZ368" s="373"/>
      <c r="BB368" s="374" t="s">
        <v>2214</v>
      </c>
      <c r="BC368" s="445"/>
      <c r="BE368" s="448">
        <v>5</v>
      </c>
      <c r="BF368" s="449">
        <v>40</v>
      </c>
      <c r="BG368" s="428" t="s">
        <v>1764</v>
      </c>
      <c r="BH368" s="445"/>
      <c r="BI368" s="491"/>
      <c r="BJ368" s="491">
        <v>12</v>
      </c>
      <c r="BK368" s="445" t="s">
        <v>1795</v>
      </c>
      <c r="BL368" s="419" t="s">
        <v>2626</v>
      </c>
      <c r="BM368" s="445"/>
      <c r="BN368" s="419" t="s">
        <v>1765</v>
      </c>
      <c r="BO368" s="419" t="s">
        <v>1765</v>
      </c>
      <c r="BP368" s="419" t="s">
        <v>1765</v>
      </c>
      <c r="BQ368" s="419" t="s">
        <v>31</v>
      </c>
      <c r="BR368" s="419"/>
      <c r="BS368" s="419"/>
      <c r="BT368" s="445"/>
      <c r="BU368" s="445"/>
      <c r="BV368" s="445"/>
      <c r="BW368" s="445" t="s">
        <v>2209</v>
      </c>
      <c r="BX368" s="445"/>
      <c r="BY368" s="445"/>
    </row>
    <row r="369" spans="1:77" ht="15">
      <c r="A369" s="370" t="s">
        <v>31</v>
      </c>
      <c r="B369" s="415" t="s">
        <v>19</v>
      </c>
      <c r="C369" s="416" t="s">
        <v>31</v>
      </c>
      <c r="D369" s="444">
        <v>0</v>
      </c>
      <c r="E369" s="415" t="s">
        <v>1718</v>
      </c>
      <c r="F369" s="444">
        <v>2</v>
      </c>
      <c r="G369" s="415" t="s">
        <v>1661</v>
      </c>
      <c r="H369" s="444">
        <v>90</v>
      </c>
      <c r="I369" s="417" t="s">
        <v>1532</v>
      </c>
      <c r="J369" s="444">
        <v>2.6</v>
      </c>
      <c r="K369" s="444">
        <v>848</v>
      </c>
      <c r="L369" s="444">
        <v>0</v>
      </c>
      <c r="M369" s="444">
        <v>1</v>
      </c>
      <c r="N369" s="444">
        <v>145</v>
      </c>
      <c r="O369" s="444">
        <v>0</v>
      </c>
      <c r="P369" s="444">
        <v>0</v>
      </c>
      <c r="Q369" s="444">
        <v>10</v>
      </c>
      <c r="R369" s="444">
        <v>8</v>
      </c>
      <c r="S369" s="444">
        <v>18</v>
      </c>
      <c r="T369" s="444">
        <v>280</v>
      </c>
      <c r="U369" s="444">
        <v>3</v>
      </c>
      <c r="V369" s="444">
        <v>15</v>
      </c>
      <c r="W369" s="444">
        <v>191</v>
      </c>
      <c r="X369" s="418"/>
      <c r="Y369" s="445"/>
      <c r="Z369" s="420"/>
      <c r="AA369" s="421">
        <v>83.341999999999999</v>
      </c>
      <c r="AB369" s="421">
        <v>32.786000000000001</v>
      </c>
      <c r="AC369" s="454">
        <v>38</v>
      </c>
      <c r="AE369" s="419" t="s">
        <v>2265</v>
      </c>
      <c r="AF369" s="454">
        <v>1</v>
      </c>
      <c r="AG369" s="441">
        <v>43101</v>
      </c>
      <c r="AJ369" s="442">
        <v>43252</v>
      </c>
      <c r="AL369" s="424" t="s">
        <v>927</v>
      </c>
      <c r="AO369" s="445"/>
      <c r="AP369" s="454">
        <v>556620</v>
      </c>
      <c r="AQ369" s="443" t="s">
        <v>1719</v>
      </c>
      <c r="AT369" s="426"/>
      <c r="AU369" s="426"/>
      <c r="AV369" s="426"/>
      <c r="AY369" s="427" t="s">
        <v>1559</v>
      </c>
      <c r="AZ369" s="373"/>
      <c r="BB369" s="374" t="s">
        <v>2214</v>
      </c>
      <c r="BC369" s="445"/>
      <c r="BE369" s="448">
        <v>5</v>
      </c>
      <c r="BF369" s="449">
        <v>40</v>
      </c>
      <c r="BG369" s="428" t="s">
        <v>1764</v>
      </c>
      <c r="BH369" s="445"/>
      <c r="BI369" s="491"/>
      <c r="BJ369" s="491">
        <v>14</v>
      </c>
      <c r="BK369" s="445" t="s">
        <v>1801</v>
      </c>
      <c r="BL369" s="419" t="s">
        <v>2629</v>
      </c>
      <c r="BM369" s="445"/>
      <c r="BN369" s="419" t="s">
        <v>1765</v>
      </c>
      <c r="BO369" s="419" t="s">
        <v>1765</v>
      </c>
      <c r="BP369" s="419" t="s">
        <v>1765</v>
      </c>
      <c r="BQ369" s="419" t="s">
        <v>31</v>
      </c>
      <c r="BR369" s="419"/>
      <c r="BS369" s="419"/>
      <c r="BT369" s="445"/>
      <c r="BU369" s="445"/>
      <c r="BV369" s="445"/>
      <c r="BW369" s="445" t="s">
        <v>2209</v>
      </c>
      <c r="BX369" s="445"/>
      <c r="BY369" s="445"/>
    </row>
    <row r="370" spans="1:77" ht="15">
      <c r="A370" s="370" t="s">
        <v>31</v>
      </c>
      <c r="B370" s="415" t="s">
        <v>19</v>
      </c>
      <c r="C370" s="416" t="s">
        <v>31</v>
      </c>
      <c r="D370" s="444">
        <v>0</v>
      </c>
      <c r="E370" s="415" t="s">
        <v>1716</v>
      </c>
      <c r="F370" s="444">
        <v>2</v>
      </c>
      <c r="G370" s="415" t="s">
        <v>1661</v>
      </c>
      <c r="H370" s="444">
        <v>56</v>
      </c>
      <c r="I370" s="417" t="s">
        <v>1694</v>
      </c>
      <c r="J370" s="444">
        <v>0.8</v>
      </c>
      <c r="K370" s="444">
        <v>444</v>
      </c>
      <c r="L370" s="444">
        <v>0</v>
      </c>
      <c r="M370" s="444">
        <v>0</v>
      </c>
      <c r="N370" s="444">
        <v>116</v>
      </c>
      <c r="O370" s="444">
        <v>0</v>
      </c>
      <c r="P370" s="444">
        <v>0</v>
      </c>
      <c r="Q370" s="444">
        <v>6</v>
      </c>
      <c r="R370" s="444">
        <v>15</v>
      </c>
      <c r="S370" s="444">
        <v>2</v>
      </c>
      <c r="T370" s="444">
        <v>88</v>
      </c>
      <c r="U370" s="444">
        <v>5</v>
      </c>
      <c r="V370" s="444">
        <v>1</v>
      </c>
      <c r="W370" s="444">
        <v>58</v>
      </c>
      <c r="X370" s="418"/>
      <c r="Y370" s="445"/>
      <c r="Z370" s="420"/>
      <c r="AA370" s="421">
        <v>74.016000000000005</v>
      </c>
      <c r="AB370" s="421">
        <v>35.381</v>
      </c>
      <c r="AC370" s="454">
        <v>22</v>
      </c>
      <c r="AE370" s="419" t="s">
        <v>2266</v>
      </c>
      <c r="AF370" s="454">
        <v>1</v>
      </c>
      <c r="AG370" s="441">
        <v>43101</v>
      </c>
      <c r="AJ370" s="442">
        <v>43252</v>
      </c>
      <c r="AL370" s="424" t="s">
        <v>1037</v>
      </c>
      <c r="AO370" s="445"/>
      <c r="AP370" s="454">
        <v>556620</v>
      </c>
      <c r="AQ370" s="443" t="s">
        <v>1719</v>
      </c>
      <c r="AT370" s="426"/>
      <c r="AU370" s="426"/>
      <c r="AV370" s="426"/>
      <c r="AY370" s="427" t="s">
        <v>1559</v>
      </c>
      <c r="AZ370" s="373"/>
      <c r="BB370" s="374" t="s">
        <v>2214</v>
      </c>
      <c r="BC370" s="445"/>
      <c r="BE370" s="448">
        <v>5</v>
      </c>
      <c r="BF370" s="449">
        <v>40</v>
      </c>
      <c r="BG370" s="428" t="s">
        <v>1764</v>
      </c>
      <c r="BH370" s="445"/>
      <c r="BI370" s="491"/>
      <c r="BJ370" s="491">
        <v>15</v>
      </c>
      <c r="BK370" s="445" t="s">
        <v>1799</v>
      </c>
      <c r="BL370" s="419" t="s">
        <v>2628</v>
      </c>
      <c r="BM370" s="445"/>
      <c r="BN370" s="419" t="s">
        <v>1765</v>
      </c>
      <c r="BO370" s="419" t="s">
        <v>1765</v>
      </c>
      <c r="BP370" s="419" t="s">
        <v>1765</v>
      </c>
      <c r="BQ370" s="419" t="s">
        <v>31</v>
      </c>
      <c r="BR370" s="419"/>
      <c r="BS370" s="419"/>
      <c r="BT370" s="445"/>
      <c r="BU370" s="445"/>
      <c r="BV370" s="445"/>
      <c r="BW370" s="445" t="s">
        <v>2209</v>
      </c>
      <c r="BX370" s="445"/>
      <c r="BY370" s="445"/>
    </row>
    <row r="371" spans="1:77" ht="15">
      <c r="A371" s="370" t="s">
        <v>31</v>
      </c>
      <c r="B371" s="415" t="s">
        <v>19</v>
      </c>
      <c r="C371" s="416" t="s">
        <v>31</v>
      </c>
      <c r="D371" s="444">
        <v>0</v>
      </c>
      <c r="E371" s="415" t="s">
        <v>1716</v>
      </c>
      <c r="F371" s="444">
        <v>2</v>
      </c>
      <c r="G371" s="415" t="s">
        <v>1661</v>
      </c>
      <c r="H371" s="444">
        <v>20</v>
      </c>
      <c r="I371" s="417" t="s">
        <v>1664</v>
      </c>
      <c r="J371" s="444">
        <v>2.8</v>
      </c>
      <c r="K371" s="444">
        <v>1040</v>
      </c>
      <c r="L371" s="444">
        <v>0</v>
      </c>
      <c r="M371" s="444">
        <v>6</v>
      </c>
      <c r="N371" s="444">
        <v>169</v>
      </c>
      <c r="O371" s="444">
        <v>0</v>
      </c>
      <c r="P371" s="444">
        <v>0</v>
      </c>
      <c r="Q371" s="444">
        <v>28</v>
      </c>
      <c r="R371" s="444">
        <v>62</v>
      </c>
      <c r="S371" s="444">
        <v>50</v>
      </c>
      <c r="T371" s="444">
        <v>426</v>
      </c>
      <c r="U371" s="444">
        <v>5</v>
      </c>
      <c r="V371" s="444">
        <v>12</v>
      </c>
      <c r="W371" s="444">
        <v>25</v>
      </c>
      <c r="X371" s="418"/>
      <c r="Y371" s="445"/>
      <c r="Z371" s="420"/>
      <c r="AA371" s="421">
        <v>59.284999999999997</v>
      </c>
      <c r="AB371" s="421">
        <v>35.494</v>
      </c>
      <c r="AC371" s="454">
        <v>57</v>
      </c>
      <c r="AE371" s="419" t="s">
        <v>2267</v>
      </c>
      <c r="AF371" s="454">
        <v>1</v>
      </c>
      <c r="AG371" s="441">
        <v>43101</v>
      </c>
      <c r="AJ371" s="442">
        <v>43252</v>
      </c>
      <c r="AL371" s="424" t="s">
        <v>927</v>
      </c>
      <c r="AO371" s="445"/>
      <c r="AP371" s="454">
        <v>556618</v>
      </c>
      <c r="AQ371" s="443" t="s">
        <v>1719</v>
      </c>
      <c r="AT371" s="426"/>
      <c r="AU371" s="426"/>
      <c r="AV371" s="426"/>
      <c r="AY371" s="427" t="s">
        <v>1559</v>
      </c>
      <c r="AZ371" s="373"/>
      <c r="BB371" s="374" t="s">
        <v>2214</v>
      </c>
      <c r="BC371" s="445"/>
      <c r="BE371" s="448">
        <v>5</v>
      </c>
      <c r="BF371" s="449">
        <v>40</v>
      </c>
      <c r="BG371" s="428" t="s">
        <v>1764</v>
      </c>
      <c r="BH371" s="445"/>
      <c r="BI371" s="491"/>
      <c r="BJ371" s="491">
        <v>18</v>
      </c>
      <c r="BK371" s="445" t="s">
        <v>1893</v>
      </c>
      <c r="BL371" s="419" t="s">
        <v>2678</v>
      </c>
      <c r="BM371" s="445"/>
      <c r="BN371" s="419" t="s">
        <v>1765</v>
      </c>
      <c r="BO371" s="419" t="s">
        <v>1765</v>
      </c>
      <c r="BP371" s="419" t="s">
        <v>1765</v>
      </c>
      <c r="BQ371" s="419" t="s">
        <v>31</v>
      </c>
      <c r="BR371" s="419"/>
      <c r="BS371" s="419"/>
      <c r="BT371" s="445"/>
      <c r="BU371" s="445"/>
      <c r="BV371" s="445"/>
      <c r="BW371" s="445" t="s">
        <v>2209</v>
      </c>
      <c r="BX371" s="445"/>
      <c r="BY371" s="445"/>
    </row>
    <row r="372" spans="1:77" ht="15">
      <c r="A372" s="370" t="s">
        <v>31</v>
      </c>
      <c r="B372" s="415" t="s">
        <v>19</v>
      </c>
      <c r="C372" s="416" t="s">
        <v>31</v>
      </c>
      <c r="D372" s="444">
        <v>0</v>
      </c>
      <c r="E372" s="415" t="s">
        <v>1716</v>
      </c>
      <c r="F372" s="444">
        <v>2</v>
      </c>
      <c r="G372" s="415" t="s">
        <v>1661</v>
      </c>
      <c r="H372" s="444">
        <v>20</v>
      </c>
      <c r="I372" s="417" t="s">
        <v>1664</v>
      </c>
      <c r="J372" s="444">
        <v>2.8</v>
      </c>
      <c r="K372" s="444">
        <v>1040</v>
      </c>
      <c r="L372" s="444">
        <v>0</v>
      </c>
      <c r="M372" s="444">
        <v>6</v>
      </c>
      <c r="N372" s="444">
        <v>169</v>
      </c>
      <c r="O372" s="444">
        <v>0</v>
      </c>
      <c r="P372" s="444">
        <v>0</v>
      </c>
      <c r="Q372" s="444">
        <v>28</v>
      </c>
      <c r="R372" s="444">
        <v>62</v>
      </c>
      <c r="S372" s="444">
        <v>50</v>
      </c>
      <c r="T372" s="444">
        <v>426</v>
      </c>
      <c r="U372" s="444">
        <v>5</v>
      </c>
      <c r="V372" s="444">
        <v>12</v>
      </c>
      <c r="W372" s="444">
        <v>25</v>
      </c>
      <c r="X372" s="418"/>
      <c r="Y372" s="445"/>
      <c r="Z372" s="420"/>
      <c r="AA372" s="421">
        <v>59.284999999999997</v>
      </c>
      <c r="AB372" s="421">
        <v>35.494</v>
      </c>
      <c r="AC372" s="454">
        <v>57</v>
      </c>
      <c r="AE372" s="419" t="s">
        <v>2267</v>
      </c>
      <c r="AF372" s="454">
        <v>1</v>
      </c>
      <c r="AG372" s="441">
        <v>43101</v>
      </c>
      <c r="AJ372" s="442">
        <v>43252</v>
      </c>
      <c r="AL372" s="424" t="s">
        <v>927</v>
      </c>
      <c r="AO372" s="445"/>
      <c r="AP372" s="454">
        <v>556618</v>
      </c>
      <c r="AQ372" s="443" t="s">
        <v>1719</v>
      </c>
      <c r="AT372" s="426"/>
      <c r="AU372" s="426"/>
      <c r="AV372" s="426"/>
      <c r="AY372" s="427" t="s">
        <v>1559</v>
      </c>
      <c r="AZ372" s="373"/>
      <c r="BB372" s="374" t="s">
        <v>2214</v>
      </c>
      <c r="BC372" s="445"/>
      <c r="BE372" s="448">
        <v>5</v>
      </c>
      <c r="BF372" s="449">
        <v>40</v>
      </c>
      <c r="BG372" s="428" t="s">
        <v>1764</v>
      </c>
      <c r="BH372" s="445"/>
      <c r="BI372" s="491"/>
      <c r="BJ372" s="491">
        <v>18</v>
      </c>
      <c r="BK372" s="445" t="s">
        <v>1893</v>
      </c>
      <c r="BL372" s="419" t="s">
        <v>2678</v>
      </c>
      <c r="BM372" s="445"/>
      <c r="BN372" s="419" t="s">
        <v>1765</v>
      </c>
      <c r="BO372" s="419" t="s">
        <v>1765</v>
      </c>
      <c r="BP372" s="419" t="s">
        <v>1765</v>
      </c>
      <c r="BQ372" s="419" t="s">
        <v>31</v>
      </c>
      <c r="BR372" s="419"/>
      <c r="BS372" s="419"/>
      <c r="BT372" s="445"/>
      <c r="BU372" s="445"/>
      <c r="BV372" s="445"/>
      <c r="BW372" s="445" t="s">
        <v>2209</v>
      </c>
      <c r="BX372" s="445"/>
      <c r="BY372" s="445"/>
    </row>
    <row r="373" spans="1:77" ht="15">
      <c r="A373" s="370" t="s">
        <v>31</v>
      </c>
      <c r="B373" s="415" t="s">
        <v>19</v>
      </c>
      <c r="C373" s="416" t="s">
        <v>31</v>
      </c>
      <c r="D373" s="444">
        <v>0</v>
      </c>
      <c r="E373" s="415" t="s">
        <v>1716</v>
      </c>
      <c r="F373" s="444">
        <v>5</v>
      </c>
      <c r="G373" s="415" t="s">
        <v>1661</v>
      </c>
      <c r="H373" s="444">
        <v>121</v>
      </c>
      <c r="I373" s="417" t="s">
        <v>1660</v>
      </c>
      <c r="J373" s="444">
        <v>0.8</v>
      </c>
      <c r="K373" s="444">
        <v>674</v>
      </c>
      <c r="L373" s="444">
        <v>0</v>
      </c>
      <c r="M373" s="444">
        <v>0</v>
      </c>
      <c r="N373" s="444">
        <v>1</v>
      </c>
      <c r="O373" s="444">
        <v>0</v>
      </c>
      <c r="P373" s="444">
        <v>0</v>
      </c>
      <c r="Q373" s="444">
        <v>0</v>
      </c>
      <c r="R373" s="444">
        <v>0</v>
      </c>
      <c r="S373" s="444">
        <v>0</v>
      </c>
      <c r="T373" s="444">
        <v>61</v>
      </c>
      <c r="U373" s="444">
        <v>0</v>
      </c>
      <c r="V373" s="444">
        <v>0</v>
      </c>
      <c r="W373" s="444">
        <v>98</v>
      </c>
      <c r="X373" s="418"/>
      <c r="Y373" s="445"/>
      <c r="Z373" s="420"/>
      <c r="AA373" s="421">
        <v>150.00200000000001</v>
      </c>
      <c r="AB373" s="421">
        <v>48.604999999999997</v>
      </c>
      <c r="AC373" s="454">
        <v>0</v>
      </c>
      <c r="AE373" s="419" t="s">
        <v>2272</v>
      </c>
      <c r="AF373" s="454">
        <v>1</v>
      </c>
      <c r="AG373" s="441">
        <v>43101</v>
      </c>
      <c r="AJ373" s="442">
        <v>43252</v>
      </c>
      <c r="AL373" s="424" t="s">
        <v>1006</v>
      </c>
      <c r="AO373" s="445"/>
      <c r="AP373" s="454">
        <v>556618</v>
      </c>
      <c r="AQ373" s="443" t="s">
        <v>1719</v>
      </c>
      <c r="AT373" s="426"/>
      <c r="AU373" s="426"/>
      <c r="AV373" s="426"/>
      <c r="AY373" s="427" t="s">
        <v>1559</v>
      </c>
      <c r="AZ373" s="373"/>
      <c r="BB373" s="374" t="s">
        <v>2214</v>
      </c>
      <c r="BC373" s="445"/>
      <c r="BE373" s="448">
        <v>5</v>
      </c>
      <c r="BF373" s="449">
        <v>40</v>
      </c>
      <c r="BG373" s="428" t="s">
        <v>1764</v>
      </c>
      <c r="BH373" s="445"/>
      <c r="BI373" s="491"/>
      <c r="BJ373" s="491">
        <v>19</v>
      </c>
      <c r="BK373" s="445" t="s">
        <v>1897</v>
      </c>
      <c r="BL373" s="419" t="s">
        <v>2680</v>
      </c>
      <c r="BM373" s="445"/>
      <c r="BN373" s="419" t="s">
        <v>1766</v>
      </c>
      <c r="BO373" s="419" t="s">
        <v>1766</v>
      </c>
      <c r="BP373" s="419" t="s">
        <v>1766</v>
      </c>
      <c r="BQ373" s="419" t="s">
        <v>31</v>
      </c>
      <c r="BR373" s="419"/>
      <c r="BS373" s="419"/>
      <c r="BT373" s="445"/>
      <c r="BU373" s="445"/>
      <c r="BV373" s="445"/>
      <c r="BW373" s="445" t="s">
        <v>2209</v>
      </c>
      <c r="BX373" s="445"/>
      <c r="BY373" s="445"/>
    </row>
    <row r="374" spans="1:77" ht="15">
      <c r="A374" s="370" t="s">
        <v>31</v>
      </c>
      <c r="B374" s="415" t="s">
        <v>19</v>
      </c>
      <c r="C374" s="416" t="s">
        <v>31</v>
      </c>
      <c r="D374" s="444">
        <v>0</v>
      </c>
      <c r="E374" s="415" t="s">
        <v>1716</v>
      </c>
      <c r="F374" s="444">
        <v>2</v>
      </c>
      <c r="G374" s="415" t="s">
        <v>1661</v>
      </c>
      <c r="H374" s="444">
        <v>100</v>
      </c>
      <c r="I374" s="417" t="s">
        <v>1428</v>
      </c>
      <c r="J374" s="444">
        <v>3</v>
      </c>
      <c r="K374" s="444">
        <v>1397</v>
      </c>
      <c r="L374" s="444">
        <v>0</v>
      </c>
      <c r="M374" s="444">
        <v>7</v>
      </c>
      <c r="N374" s="444">
        <v>273</v>
      </c>
      <c r="O374" s="444">
        <v>0</v>
      </c>
      <c r="P374" s="444">
        <v>0</v>
      </c>
      <c r="Q374" s="444">
        <v>20</v>
      </c>
      <c r="R374" s="444">
        <v>70</v>
      </c>
      <c r="S374" s="444">
        <v>17</v>
      </c>
      <c r="T374" s="444">
        <v>213</v>
      </c>
      <c r="U374" s="444">
        <v>23</v>
      </c>
      <c r="V374" s="444">
        <v>13</v>
      </c>
      <c r="W374" s="444">
        <v>144</v>
      </c>
      <c r="X374" s="418"/>
      <c r="Y374" s="445"/>
      <c r="Z374" s="420"/>
      <c r="AA374" s="421">
        <v>83.397000000000006</v>
      </c>
      <c r="AB374" s="421">
        <v>40.396999999999998</v>
      </c>
      <c r="AC374" s="454">
        <v>56</v>
      </c>
      <c r="AE374" s="419" t="s">
        <v>2263</v>
      </c>
      <c r="AF374" s="454">
        <v>1</v>
      </c>
      <c r="AG374" s="441">
        <v>43101</v>
      </c>
      <c r="AJ374" s="442">
        <v>43252</v>
      </c>
      <c r="AL374" s="424" t="s">
        <v>927</v>
      </c>
      <c r="AO374" s="445"/>
      <c r="AP374" s="454">
        <v>556620</v>
      </c>
      <c r="AQ374" s="443">
        <v>43077</v>
      </c>
      <c r="AT374" s="426"/>
      <c r="AU374" s="426"/>
      <c r="AV374" s="426"/>
      <c r="AY374" s="427" t="s">
        <v>1559</v>
      </c>
      <c r="AZ374" s="373"/>
      <c r="BB374" s="374" t="s">
        <v>2214</v>
      </c>
      <c r="BC374" s="445"/>
      <c r="BE374" s="448">
        <v>5</v>
      </c>
      <c r="BF374" s="449">
        <v>40</v>
      </c>
      <c r="BG374" s="428" t="s">
        <v>1764</v>
      </c>
      <c r="BH374" s="445"/>
      <c r="BI374" s="491"/>
      <c r="BJ374" s="491">
        <v>20</v>
      </c>
      <c r="BK374" s="445" t="s">
        <v>2791</v>
      </c>
      <c r="BL374" s="419" t="s">
        <v>2792</v>
      </c>
      <c r="BM374" s="445"/>
      <c r="BN374" s="419" t="s">
        <v>1765</v>
      </c>
      <c r="BO374" s="419" t="s">
        <v>1765</v>
      </c>
      <c r="BP374" s="419" t="s">
        <v>1765</v>
      </c>
      <c r="BQ374" s="419" t="s">
        <v>31</v>
      </c>
      <c r="BR374" s="419"/>
      <c r="BS374" s="419"/>
      <c r="BT374" s="445"/>
      <c r="BU374" s="445"/>
      <c r="BV374" s="445"/>
      <c r="BW374" s="445" t="s">
        <v>2209</v>
      </c>
      <c r="BX374" s="445"/>
      <c r="BY374" s="445"/>
    </row>
    <row r="375" spans="1:77" ht="15">
      <c r="A375" s="370" t="s">
        <v>31</v>
      </c>
      <c r="B375" s="415" t="s">
        <v>19</v>
      </c>
      <c r="C375" s="416" t="s">
        <v>31</v>
      </c>
      <c r="D375" s="444">
        <v>0</v>
      </c>
      <c r="E375" s="415" t="s">
        <v>1716</v>
      </c>
      <c r="F375" s="444">
        <v>2</v>
      </c>
      <c r="G375" s="415" t="s">
        <v>1661</v>
      </c>
      <c r="H375" s="444">
        <v>113</v>
      </c>
      <c r="I375" s="417" t="s">
        <v>1686</v>
      </c>
      <c r="J375" s="444">
        <v>0.9</v>
      </c>
      <c r="K375" s="444">
        <v>523</v>
      </c>
      <c r="L375" s="444">
        <v>0</v>
      </c>
      <c r="M375" s="444">
        <v>3</v>
      </c>
      <c r="N375" s="444">
        <v>67</v>
      </c>
      <c r="O375" s="444">
        <v>0</v>
      </c>
      <c r="P375" s="444">
        <v>0</v>
      </c>
      <c r="Q375" s="444">
        <v>10</v>
      </c>
      <c r="R375" s="444">
        <v>3</v>
      </c>
      <c r="S375" s="444">
        <v>20</v>
      </c>
      <c r="T375" s="444">
        <v>77</v>
      </c>
      <c r="U375" s="444">
        <v>1</v>
      </c>
      <c r="V375" s="444">
        <v>17</v>
      </c>
      <c r="W375" s="444">
        <v>53</v>
      </c>
      <c r="X375" s="418"/>
      <c r="Y375" s="445"/>
      <c r="Z375" s="420"/>
      <c r="AA375" s="421">
        <v>86.477999999999994</v>
      </c>
      <c r="AB375" s="421">
        <v>38.881</v>
      </c>
      <c r="AC375" s="454">
        <v>19</v>
      </c>
      <c r="AE375" s="419" t="s">
        <v>2268</v>
      </c>
      <c r="AF375" s="454">
        <v>1</v>
      </c>
      <c r="AG375" s="441">
        <v>43101</v>
      </c>
      <c r="AJ375" s="442">
        <v>43252</v>
      </c>
      <c r="AL375" s="424" t="s">
        <v>927</v>
      </c>
      <c r="AO375" s="445"/>
      <c r="AP375" s="454">
        <v>556620</v>
      </c>
      <c r="AQ375" s="443">
        <v>43077</v>
      </c>
      <c r="AT375" s="426"/>
      <c r="AU375" s="426"/>
      <c r="AV375" s="426"/>
      <c r="AY375" s="427" t="s">
        <v>1559</v>
      </c>
      <c r="AZ375" s="373"/>
      <c r="BB375" s="374" t="s">
        <v>2214</v>
      </c>
      <c r="BC375" s="445"/>
      <c r="BE375" s="448">
        <v>5</v>
      </c>
      <c r="BF375" s="449">
        <v>20</v>
      </c>
      <c r="BG375" s="428" t="s">
        <v>1764</v>
      </c>
      <c r="BH375" s="445"/>
      <c r="BI375" s="491"/>
      <c r="BJ375" s="491">
        <v>24</v>
      </c>
      <c r="BK375" s="445" t="s">
        <v>2928</v>
      </c>
      <c r="BL375" s="419" t="s">
        <v>2929</v>
      </c>
      <c r="BM375" s="445"/>
      <c r="BN375" s="419" t="s">
        <v>1765</v>
      </c>
      <c r="BO375" s="419" t="s">
        <v>1765</v>
      </c>
      <c r="BP375" s="419" t="s">
        <v>1765</v>
      </c>
      <c r="BQ375" s="419" t="s">
        <v>31</v>
      </c>
      <c r="BR375" s="419"/>
      <c r="BS375" s="419"/>
      <c r="BT375" s="445"/>
      <c r="BU375" s="445"/>
      <c r="BV375" s="445"/>
      <c r="BW375" s="445" t="s">
        <v>2209</v>
      </c>
      <c r="BX375" s="445"/>
      <c r="BY375" s="445"/>
    </row>
    <row r="376" spans="1:77" ht="15">
      <c r="A376" s="370" t="s">
        <v>1783</v>
      </c>
      <c r="B376" s="415" t="s">
        <v>177</v>
      </c>
      <c r="C376" s="416" t="s">
        <v>2081</v>
      </c>
      <c r="D376" s="444">
        <v>0</v>
      </c>
      <c r="E376" s="415" t="s">
        <v>1716</v>
      </c>
      <c r="F376" s="444">
        <v>3</v>
      </c>
      <c r="G376" s="415" t="s">
        <v>1750</v>
      </c>
      <c r="H376" s="444">
        <v>51</v>
      </c>
      <c r="I376" s="417" t="s">
        <v>1632</v>
      </c>
      <c r="J376" s="444">
        <v>2.5</v>
      </c>
      <c r="K376" s="444">
        <v>0</v>
      </c>
      <c r="L376" s="444"/>
      <c r="M376" s="444">
        <v>0</v>
      </c>
      <c r="N376" s="444">
        <v>180</v>
      </c>
      <c r="O376" s="444"/>
      <c r="P376" s="444"/>
      <c r="Q376" s="444">
        <v>0</v>
      </c>
      <c r="R376" s="444"/>
      <c r="S376" s="444">
        <v>0</v>
      </c>
      <c r="T376" s="444">
        <v>0</v>
      </c>
      <c r="U376" s="444"/>
      <c r="V376" s="444">
        <v>0</v>
      </c>
      <c r="W376" s="444">
        <v>0</v>
      </c>
      <c r="X376" s="418"/>
      <c r="Y376" s="445"/>
      <c r="Z376" s="420"/>
      <c r="AA376" s="421">
        <v>204.22</v>
      </c>
      <c r="AB376" s="421"/>
      <c r="AC376" s="454">
        <v>23</v>
      </c>
      <c r="AE376" s="419" t="s">
        <v>2270</v>
      </c>
      <c r="AF376" s="454">
        <v>1</v>
      </c>
      <c r="AG376" s="441">
        <v>43101</v>
      </c>
      <c r="AJ376" s="442">
        <v>43252</v>
      </c>
      <c r="AL376" s="424" t="s">
        <v>1015</v>
      </c>
      <c r="AO376" s="445"/>
      <c r="AP376" s="454">
        <v>556710</v>
      </c>
      <c r="AQ376" s="443">
        <v>43271</v>
      </c>
      <c r="AR376" s="370">
        <v>0.3</v>
      </c>
      <c r="AT376" s="426"/>
      <c r="AU376" s="426"/>
      <c r="AV376" s="426"/>
      <c r="AY376" s="427" t="s">
        <v>1717</v>
      </c>
      <c r="AZ376" s="373"/>
      <c r="BB376" s="374" t="s">
        <v>1727</v>
      </c>
      <c r="BC376" s="445"/>
      <c r="BE376" s="448"/>
      <c r="BF376" s="449"/>
      <c r="BG376" s="428"/>
      <c r="BH376" s="445"/>
      <c r="BI376" s="491"/>
      <c r="BJ376" s="491">
        <v>1</v>
      </c>
      <c r="BK376" s="445" t="s">
        <v>3068</v>
      </c>
      <c r="BL376" s="419" t="s">
        <v>3069</v>
      </c>
      <c r="BM376" s="445"/>
      <c r="BN376" s="419"/>
      <c r="BO376" s="419"/>
      <c r="BP376" s="419"/>
      <c r="BQ376" s="419" t="s">
        <v>1783</v>
      </c>
      <c r="BR376" s="419">
        <v>2</v>
      </c>
      <c r="BS376" s="419"/>
      <c r="BT376" s="445"/>
      <c r="BU376" s="445"/>
      <c r="BV376" s="445"/>
      <c r="BW376" s="445" t="s">
        <v>2209</v>
      </c>
      <c r="BX376" s="445"/>
      <c r="BY376" s="445"/>
    </row>
    <row r="377" spans="1:77" ht="15">
      <c r="A377" s="370" t="s">
        <v>1783</v>
      </c>
      <c r="B377" s="415" t="s">
        <v>177</v>
      </c>
      <c r="C377" s="416" t="s">
        <v>2081</v>
      </c>
      <c r="D377" s="444">
        <v>0</v>
      </c>
      <c r="E377" s="415" t="s">
        <v>1716</v>
      </c>
      <c r="F377" s="444">
        <v>3</v>
      </c>
      <c r="G377" s="415" t="s">
        <v>1750</v>
      </c>
      <c r="H377" s="444">
        <v>78</v>
      </c>
      <c r="I377" s="417" t="s">
        <v>1664</v>
      </c>
      <c r="J377" s="444">
        <v>0.6</v>
      </c>
      <c r="K377" s="444">
        <v>0</v>
      </c>
      <c r="L377" s="444"/>
      <c r="M377" s="444">
        <v>0</v>
      </c>
      <c r="N377" s="444">
        <v>90</v>
      </c>
      <c r="O377" s="444"/>
      <c r="P377" s="444"/>
      <c r="Q377" s="444">
        <v>0</v>
      </c>
      <c r="R377" s="444"/>
      <c r="S377" s="444">
        <v>0</v>
      </c>
      <c r="T377" s="444">
        <v>0</v>
      </c>
      <c r="U377" s="444"/>
      <c r="V377" s="444">
        <v>0</v>
      </c>
      <c r="W377" s="444">
        <v>0</v>
      </c>
      <c r="X377" s="418"/>
      <c r="Y377" s="445"/>
      <c r="Z377" s="420"/>
      <c r="AA377" s="421">
        <v>185.61</v>
      </c>
      <c r="AB377" s="421"/>
      <c r="AC377" s="454">
        <v>23</v>
      </c>
      <c r="AE377" s="419" t="s">
        <v>2271</v>
      </c>
      <c r="AF377" s="454">
        <v>1</v>
      </c>
      <c r="AG377" s="441">
        <v>43101</v>
      </c>
      <c r="AJ377" s="442">
        <v>43252</v>
      </c>
      <c r="AL377" s="424" t="s">
        <v>1681</v>
      </c>
      <c r="AO377" s="445"/>
      <c r="AP377" s="454">
        <v>556710</v>
      </c>
      <c r="AQ377" s="443">
        <v>43271</v>
      </c>
      <c r="AR377" s="370">
        <v>0.3</v>
      </c>
      <c r="AT377" s="426"/>
      <c r="AU377" s="426"/>
      <c r="AV377" s="426"/>
      <c r="AY377" s="427" t="s">
        <v>1717</v>
      </c>
      <c r="AZ377" s="373"/>
      <c r="BB377" s="374" t="s">
        <v>1727</v>
      </c>
      <c r="BC377" s="445"/>
      <c r="BE377" s="448"/>
      <c r="BF377" s="449"/>
      <c r="BG377" s="428"/>
      <c r="BH377" s="445"/>
      <c r="BI377" s="491"/>
      <c r="BJ377" s="491">
        <v>2</v>
      </c>
      <c r="BK377" s="445" t="s">
        <v>3070</v>
      </c>
      <c r="BL377" s="419" t="s">
        <v>3071</v>
      </c>
      <c r="BM377" s="445"/>
      <c r="BN377" s="419"/>
      <c r="BO377" s="419"/>
      <c r="BP377" s="419"/>
      <c r="BQ377" s="419" t="s">
        <v>1783</v>
      </c>
      <c r="BR377" s="419">
        <v>2</v>
      </c>
      <c r="BS377" s="419"/>
      <c r="BT377" s="445"/>
      <c r="BU377" s="445"/>
      <c r="BV377" s="445"/>
      <c r="BW377" s="445" t="s">
        <v>2209</v>
      </c>
      <c r="BX377" s="445"/>
      <c r="BY377" s="445"/>
    </row>
    <row r="378" spans="1:77" ht="15">
      <c r="A378" s="370" t="s">
        <v>31</v>
      </c>
      <c r="B378" s="415" t="s">
        <v>19</v>
      </c>
      <c r="C378" s="416" t="s">
        <v>31</v>
      </c>
      <c r="D378" s="444">
        <v>0</v>
      </c>
      <c r="E378" s="415" t="s">
        <v>1716</v>
      </c>
      <c r="F378" s="444">
        <v>3</v>
      </c>
      <c r="G378" s="415" t="s">
        <v>1661</v>
      </c>
      <c r="H378" s="444">
        <v>115</v>
      </c>
      <c r="I378" s="417" t="s">
        <v>1768</v>
      </c>
      <c r="J378" s="444">
        <v>0.3</v>
      </c>
      <c r="K378" s="444">
        <v>206</v>
      </c>
      <c r="L378" s="444">
        <v>0</v>
      </c>
      <c r="M378" s="444">
        <v>1</v>
      </c>
      <c r="N378" s="444">
        <v>18</v>
      </c>
      <c r="O378" s="444">
        <v>0</v>
      </c>
      <c r="P378" s="444">
        <v>0</v>
      </c>
      <c r="Q378" s="444">
        <v>0</v>
      </c>
      <c r="R378" s="444">
        <v>0</v>
      </c>
      <c r="S378" s="444">
        <v>13</v>
      </c>
      <c r="T378" s="444">
        <v>27</v>
      </c>
      <c r="U378" s="444">
        <v>0</v>
      </c>
      <c r="V378" s="444">
        <v>11</v>
      </c>
      <c r="W378" s="444">
        <v>18</v>
      </c>
      <c r="X378" s="418"/>
      <c r="Y378" s="445"/>
      <c r="Z378" s="420"/>
      <c r="AA378" s="421">
        <v>91.617000000000004</v>
      </c>
      <c r="AB378" s="421">
        <v>41.021999999999998</v>
      </c>
      <c r="AC378" s="454">
        <v>8</v>
      </c>
      <c r="AE378" s="419" t="s">
        <v>2269</v>
      </c>
      <c r="AF378" s="454">
        <v>1</v>
      </c>
      <c r="AG378" s="441">
        <v>43101</v>
      </c>
      <c r="AJ378" s="442">
        <v>43252</v>
      </c>
      <c r="AL378" s="424" t="s">
        <v>927</v>
      </c>
      <c r="AO378" s="445"/>
      <c r="AP378" s="454">
        <v>556620</v>
      </c>
      <c r="AQ378" s="443">
        <v>43077</v>
      </c>
      <c r="AT378" s="426"/>
      <c r="AU378" s="426"/>
      <c r="AV378" s="426"/>
      <c r="AY378" s="427" t="s">
        <v>1559</v>
      </c>
      <c r="AZ378" s="373"/>
      <c r="BB378" s="374" t="s">
        <v>2214</v>
      </c>
      <c r="BC378" s="445"/>
      <c r="BE378" s="448">
        <v>5</v>
      </c>
      <c r="BF378" s="449">
        <v>20</v>
      </c>
      <c r="BG378" s="428" t="s">
        <v>1764</v>
      </c>
      <c r="BH378" s="445"/>
      <c r="BI378" s="491"/>
      <c r="BJ378" s="491">
        <v>26</v>
      </c>
      <c r="BK378" s="445" t="s">
        <v>2930</v>
      </c>
      <c r="BL378" s="419" t="s">
        <v>2931</v>
      </c>
      <c r="BM378" s="445"/>
      <c r="BN378" s="419" t="s">
        <v>1765</v>
      </c>
      <c r="BO378" s="419" t="s">
        <v>1765</v>
      </c>
      <c r="BP378" s="419" t="s">
        <v>1765</v>
      </c>
      <c r="BQ378" s="419" t="s">
        <v>31</v>
      </c>
      <c r="BR378" s="419"/>
      <c r="BS378" s="419"/>
      <c r="BT378" s="445"/>
      <c r="BU378" s="445"/>
      <c r="BV378" s="445"/>
      <c r="BW378" s="445" t="s">
        <v>2209</v>
      </c>
      <c r="BX378" s="445"/>
      <c r="BY378" s="445"/>
    </row>
    <row r="379" spans="1:77" ht="15">
      <c r="A379" s="370" t="s">
        <v>31</v>
      </c>
      <c r="B379" s="415" t="s">
        <v>19</v>
      </c>
      <c r="C379" s="416" t="s">
        <v>31</v>
      </c>
      <c r="D379" s="444">
        <v>0</v>
      </c>
      <c r="E379" s="415" t="s">
        <v>1716</v>
      </c>
      <c r="F379" s="444">
        <v>2</v>
      </c>
      <c r="G379" s="415" t="s">
        <v>1661</v>
      </c>
      <c r="H379" s="444">
        <v>39</v>
      </c>
      <c r="I379" s="417" t="s">
        <v>1687</v>
      </c>
      <c r="J379" s="444">
        <v>2.4</v>
      </c>
      <c r="K379" s="444">
        <v>1200</v>
      </c>
      <c r="L379" s="444">
        <v>0</v>
      </c>
      <c r="M379" s="444">
        <v>10</v>
      </c>
      <c r="N379" s="444">
        <v>99</v>
      </c>
      <c r="O379" s="444">
        <v>0</v>
      </c>
      <c r="P379" s="444">
        <v>0</v>
      </c>
      <c r="Q379" s="444">
        <v>10</v>
      </c>
      <c r="R379" s="444">
        <v>42</v>
      </c>
      <c r="S379" s="444">
        <v>76</v>
      </c>
      <c r="T379" s="444">
        <v>203</v>
      </c>
      <c r="U379" s="444">
        <v>14</v>
      </c>
      <c r="V379" s="444">
        <v>62</v>
      </c>
      <c r="W379" s="444">
        <v>139</v>
      </c>
      <c r="X379" s="418"/>
      <c r="Y379" s="445"/>
      <c r="Z379" s="420"/>
      <c r="AA379" s="421">
        <v>89.417000000000002</v>
      </c>
      <c r="AB379" s="421">
        <v>39.662999999999997</v>
      </c>
      <c r="AC379" s="454">
        <v>51</v>
      </c>
      <c r="AE379" s="419" t="s">
        <v>2274</v>
      </c>
      <c r="AF379" s="454">
        <v>1</v>
      </c>
      <c r="AG379" s="441">
        <v>43101</v>
      </c>
      <c r="AJ379" s="442">
        <v>43252</v>
      </c>
      <c r="AL379" s="424" t="s">
        <v>927</v>
      </c>
      <c r="AO379" s="445"/>
      <c r="AP379" s="454">
        <v>556620</v>
      </c>
      <c r="AQ379" s="443">
        <v>43077</v>
      </c>
      <c r="AT379" s="426"/>
      <c r="AU379" s="426"/>
      <c r="AV379" s="426"/>
      <c r="AY379" s="427" t="s">
        <v>1559</v>
      </c>
      <c r="AZ379" s="373"/>
      <c r="BB379" s="374" t="s">
        <v>2214</v>
      </c>
      <c r="BC379" s="445"/>
      <c r="BE379" s="448">
        <v>5</v>
      </c>
      <c r="BF379" s="449">
        <v>40</v>
      </c>
      <c r="BG379" s="428" t="s">
        <v>1764</v>
      </c>
      <c r="BH379" s="445"/>
      <c r="BI379" s="491"/>
      <c r="BJ379" s="491">
        <v>27</v>
      </c>
      <c r="BK379" s="445" t="s">
        <v>3033</v>
      </c>
      <c r="BL379" s="419" t="s">
        <v>3034</v>
      </c>
      <c r="BM379" s="445"/>
      <c r="BN379" s="419" t="s">
        <v>1765</v>
      </c>
      <c r="BO379" s="419" t="s">
        <v>1765</v>
      </c>
      <c r="BP379" s="419" t="s">
        <v>1765</v>
      </c>
      <c r="BQ379" s="419" t="s">
        <v>31</v>
      </c>
      <c r="BR379" s="419"/>
      <c r="BS379" s="419"/>
      <c r="BT379" s="445"/>
      <c r="BU379" s="445"/>
      <c r="BV379" s="445"/>
      <c r="BW379" s="445" t="s">
        <v>2209</v>
      </c>
      <c r="BX379" s="445"/>
      <c r="BY379" s="445"/>
    </row>
    <row r="380" spans="1:77" ht="15">
      <c r="A380" s="370" t="s">
        <v>31</v>
      </c>
      <c r="B380" s="415" t="s">
        <v>19</v>
      </c>
      <c r="C380" s="416" t="s">
        <v>31</v>
      </c>
      <c r="D380" s="444">
        <v>0</v>
      </c>
      <c r="E380" s="415" t="s">
        <v>1716</v>
      </c>
      <c r="F380" s="444">
        <v>2</v>
      </c>
      <c r="G380" s="415" t="s">
        <v>1661</v>
      </c>
      <c r="H380" s="444">
        <v>43</v>
      </c>
      <c r="I380" s="417" t="s">
        <v>1768</v>
      </c>
      <c r="J380" s="444">
        <v>1.3</v>
      </c>
      <c r="K380" s="444">
        <v>741</v>
      </c>
      <c r="L380" s="444">
        <v>0</v>
      </c>
      <c r="M380" s="444">
        <v>4</v>
      </c>
      <c r="N380" s="444">
        <v>69</v>
      </c>
      <c r="O380" s="444">
        <v>0</v>
      </c>
      <c r="P380" s="444">
        <v>0</v>
      </c>
      <c r="Q380" s="444">
        <v>5</v>
      </c>
      <c r="R380" s="444">
        <v>32</v>
      </c>
      <c r="S380" s="444">
        <v>20</v>
      </c>
      <c r="T380" s="444">
        <v>100</v>
      </c>
      <c r="U380" s="444">
        <v>11</v>
      </c>
      <c r="V380" s="444">
        <v>17</v>
      </c>
      <c r="W380" s="444">
        <v>67</v>
      </c>
      <c r="X380" s="418"/>
      <c r="Y380" s="445"/>
      <c r="Z380" s="420"/>
      <c r="AA380" s="421">
        <v>84.84</v>
      </c>
      <c r="AB380" s="421">
        <v>40.945999999999998</v>
      </c>
      <c r="AC380" s="454">
        <v>28</v>
      </c>
      <c r="AE380" s="419" t="s">
        <v>2273</v>
      </c>
      <c r="AF380" s="454">
        <v>1</v>
      </c>
      <c r="AG380" s="441">
        <v>43101</v>
      </c>
      <c r="AJ380" s="442">
        <v>43252</v>
      </c>
      <c r="AL380" s="424" t="s">
        <v>1037</v>
      </c>
      <c r="AO380" s="445"/>
      <c r="AP380" s="454">
        <v>556620</v>
      </c>
      <c r="AQ380" s="443">
        <v>43077</v>
      </c>
      <c r="AT380" s="426"/>
      <c r="AU380" s="426"/>
      <c r="AV380" s="426"/>
      <c r="AY380" s="427" t="s">
        <v>1559</v>
      </c>
      <c r="AZ380" s="373"/>
      <c r="BB380" s="374" t="s">
        <v>2214</v>
      </c>
      <c r="BC380" s="445"/>
      <c r="BE380" s="448">
        <v>0</v>
      </c>
      <c r="BF380" s="449">
        <v>20</v>
      </c>
      <c r="BG380" s="428" t="s">
        <v>1764</v>
      </c>
      <c r="BH380" s="445"/>
      <c r="BI380" s="491"/>
      <c r="BJ380" s="491">
        <v>28</v>
      </c>
      <c r="BK380" s="445" t="s">
        <v>3053</v>
      </c>
      <c r="BL380" s="419" t="s">
        <v>3054</v>
      </c>
      <c r="BM380" s="445"/>
      <c r="BN380" s="419" t="s">
        <v>1765</v>
      </c>
      <c r="BO380" s="419" t="s">
        <v>1765</v>
      </c>
      <c r="BP380" s="419" t="s">
        <v>1765</v>
      </c>
      <c r="BQ380" s="419" t="s">
        <v>31</v>
      </c>
      <c r="BR380" s="419"/>
      <c r="BS380" s="419"/>
      <c r="BT380" s="445"/>
      <c r="BU380" s="445"/>
      <c r="BV380" s="445"/>
      <c r="BW380" s="445" t="s">
        <v>2209</v>
      </c>
      <c r="BX380" s="445"/>
      <c r="BY380" s="445"/>
    </row>
    <row r="381" spans="1:77" ht="15">
      <c r="A381" s="370" t="s">
        <v>1269</v>
      </c>
      <c r="B381" s="415" t="s">
        <v>19</v>
      </c>
      <c r="C381" s="416" t="s">
        <v>1682</v>
      </c>
      <c r="D381" s="444">
        <v>0</v>
      </c>
      <c r="E381" s="415" t="s">
        <v>1718</v>
      </c>
      <c r="F381" s="444">
        <v>3</v>
      </c>
      <c r="G381" s="415" t="s">
        <v>1750</v>
      </c>
      <c r="H381" s="444">
        <v>60</v>
      </c>
      <c r="I381" s="417" t="s">
        <v>1683</v>
      </c>
      <c r="J381" s="444">
        <v>2.2999999999999998</v>
      </c>
      <c r="K381" s="444">
        <v>285</v>
      </c>
      <c r="L381" s="444"/>
      <c r="M381" s="444">
        <v>0</v>
      </c>
      <c r="N381" s="444">
        <v>3</v>
      </c>
      <c r="O381" s="444"/>
      <c r="P381" s="444"/>
      <c r="Q381" s="444"/>
      <c r="R381" s="444">
        <v>0</v>
      </c>
      <c r="S381" s="444">
        <v>0</v>
      </c>
      <c r="T381" s="444">
        <v>0</v>
      </c>
      <c r="U381" s="444"/>
      <c r="V381" s="444">
        <v>0</v>
      </c>
      <c r="W381" s="444">
        <v>50</v>
      </c>
      <c r="X381" s="418"/>
      <c r="Y381" s="445"/>
      <c r="Z381" s="420"/>
      <c r="AA381" s="421">
        <v>106.111</v>
      </c>
      <c r="AB381" s="421"/>
      <c r="AC381" s="454">
        <v>12</v>
      </c>
      <c r="AE381" s="419" t="s">
        <v>2275</v>
      </c>
      <c r="AF381" s="454">
        <v>1</v>
      </c>
      <c r="AG381" s="441">
        <v>43101</v>
      </c>
      <c r="AJ381" s="442">
        <v>43252</v>
      </c>
      <c r="AL381" s="424" t="s">
        <v>1037</v>
      </c>
      <c r="AO381" s="445"/>
      <c r="AP381" s="454">
        <v>556644</v>
      </c>
      <c r="AQ381" s="443">
        <v>43122</v>
      </c>
      <c r="AT381" s="426"/>
      <c r="AU381" s="426"/>
      <c r="AV381" s="426"/>
      <c r="AY381" s="427" t="s">
        <v>1559</v>
      </c>
      <c r="AZ381" s="373"/>
      <c r="BB381" s="374" t="s">
        <v>2214</v>
      </c>
      <c r="BC381" s="445"/>
      <c r="BE381" s="448"/>
      <c r="BF381" s="449"/>
      <c r="BG381" s="428"/>
      <c r="BH381" s="445"/>
      <c r="BI381" s="491"/>
      <c r="BJ381" s="491">
        <v>6</v>
      </c>
      <c r="BK381" s="445" t="s">
        <v>1877</v>
      </c>
      <c r="BL381" s="419" t="s">
        <v>2669</v>
      </c>
      <c r="BM381" s="445"/>
      <c r="BN381" s="419"/>
      <c r="BO381" s="419"/>
      <c r="BP381" s="419"/>
      <c r="BQ381" s="419" t="s">
        <v>1269</v>
      </c>
      <c r="BR381" s="419"/>
      <c r="BS381" s="419"/>
      <c r="BT381" s="445"/>
      <c r="BU381" s="445"/>
      <c r="BV381" s="445"/>
      <c r="BW381" s="445" t="s">
        <v>2209</v>
      </c>
      <c r="BX381" s="445"/>
      <c r="BY381" s="445"/>
    </row>
    <row r="382" spans="1:77" ht="15">
      <c r="A382" s="370" t="s">
        <v>1269</v>
      </c>
      <c r="B382" s="415" t="s">
        <v>19</v>
      </c>
      <c r="C382" s="416" t="s">
        <v>1619</v>
      </c>
      <c r="D382" s="444">
        <v>0</v>
      </c>
      <c r="E382" s="415" t="s">
        <v>1718</v>
      </c>
      <c r="F382" s="444">
        <v>3</v>
      </c>
      <c r="G382" s="415" t="s">
        <v>1750</v>
      </c>
      <c r="H382" s="444">
        <v>2</v>
      </c>
      <c r="I382" s="417" t="s">
        <v>1632</v>
      </c>
      <c r="J382" s="444">
        <v>1.6</v>
      </c>
      <c r="K382" s="444">
        <v>258</v>
      </c>
      <c r="L382" s="444"/>
      <c r="M382" s="444">
        <v>0</v>
      </c>
      <c r="N382" s="444">
        <v>20</v>
      </c>
      <c r="O382" s="444"/>
      <c r="P382" s="444"/>
      <c r="Q382" s="444"/>
      <c r="R382" s="444"/>
      <c r="S382" s="444">
        <v>88</v>
      </c>
      <c r="T382" s="444">
        <v>0</v>
      </c>
      <c r="U382" s="444"/>
      <c r="V382" s="444">
        <v>0</v>
      </c>
      <c r="W382" s="444">
        <v>0</v>
      </c>
      <c r="X382" s="418"/>
      <c r="Y382" s="445"/>
      <c r="Z382" s="420"/>
      <c r="AA382" s="421">
        <v>68.722999999999999</v>
      </c>
      <c r="AB382" s="421"/>
      <c r="AC382" s="454">
        <v>9</v>
      </c>
      <c r="AE382" s="419" t="s">
        <v>2276</v>
      </c>
      <c r="AF382" s="454">
        <v>1</v>
      </c>
      <c r="AG382" s="441">
        <v>43101</v>
      </c>
      <c r="AJ382" s="442">
        <v>43252</v>
      </c>
      <c r="AL382" s="424" t="s">
        <v>999</v>
      </c>
      <c r="AO382" s="445"/>
      <c r="AP382" s="454">
        <v>556641</v>
      </c>
      <c r="AQ382" s="443">
        <v>43102</v>
      </c>
      <c r="AT382" s="426"/>
      <c r="AU382" s="426"/>
      <c r="AV382" s="426"/>
      <c r="AY382" s="427" t="s">
        <v>1559</v>
      </c>
      <c r="AZ382" s="373"/>
      <c r="BB382" s="374" t="s">
        <v>2214</v>
      </c>
      <c r="BC382" s="445"/>
      <c r="BE382" s="448"/>
      <c r="BF382" s="449"/>
      <c r="BG382" s="428"/>
      <c r="BH382" s="445"/>
      <c r="BI382" s="491"/>
      <c r="BJ382" s="491">
        <v>17</v>
      </c>
      <c r="BK382" s="445" t="s">
        <v>1858</v>
      </c>
      <c r="BL382" s="419" t="s">
        <v>2659</v>
      </c>
      <c r="BM382" s="445"/>
      <c r="BN382" s="419"/>
      <c r="BO382" s="419"/>
      <c r="BP382" s="419"/>
      <c r="BQ382" s="419" t="s">
        <v>1269</v>
      </c>
      <c r="BR382" s="419"/>
      <c r="BS382" s="419"/>
      <c r="BT382" s="445"/>
      <c r="BU382" s="445"/>
      <c r="BV382" s="445"/>
      <c r="BW382" s="445" t="s">
        <v>2209</v>
      </c>
      <c r="BX382" s="445"/>
      <c r="BY382" s="445"/>
    </row>
    <row r="383" spans="1:77" ht="15">
      <c r="A383" s="370" t="s">
        <v>1269</v>
      </c>
      <c r="B383" s="415" t="s">
        <v>19</v>
      </c>
      <c r="C383" s="416" t="s">
        <v>1682</v>
      </c>
      <c r="D383" s="444">
        <v>0</v>
      </c>
      <c r="E383" s="415" t="s">
        <v>1718</v>
      </c>
      <c r="F383" s="444">
        <v>3</v>
      </c>
      <c r="G383" s="415" t="s">
        <v>1661</v>
      </c>
      <c r="H383" s="444">
        <v>14</v>
      </c>
      <c r="I383" s="417" t="s">
        <v>1632</v>
      </c>
      <c r="J383" s="444">
        <v>2.2000000000000002</v>
      </c>
      <c r="K383" s="444">
        <v>185</v>
      </c>
      <c r="L383" s="444">
        <v>0</v>
      </c>
      <c r="M383" s="444">
        <v>0</v>
      </c>
      <c r="N383" s="444">
        <v>11</v>
      </c>
      <c r="O383" s="444">
        <v>0</v>
      </c>
      <c r="P383" s="444">
        <v>0</v>
      </c>
      <c r="Q383" s="444">
        <v>0</v>
      </c>
      <c r="R383" s="444">
        <v>0</v>
      </c>
      <c r="S383" s="444">
        <v>0</v>
      </c>
      <c r="T383" s="444">
        <v>0</v>
      </c>
      <c r="U383" s="444">
        <v>0</v>
      </c>
      <c r="V383" s="444">
        <v>0</v>
      </c>
      <c r="W383" s="444">
        <v>60</v>
      </c>
      <c r="X383" s="418"/>
      <c r="Y383" s="445"/>
      <c r="Z383" s="420"/>
      <c r="AA383" s="421">
        <v>78.855000000000004</v>
      </c>
      <c r="AB383" s="421">
        <v>29.978000000000002</v>
      </c>
      <c r="AC383" s="454">
        <v>9</v>
      </c>
      <c r="AE383" s="419" t="s">
        <v>2277</v>
      </c>
      <c r="AF383" s="454">
        <v>1</v>
      </c>
      <c r="AG383" s="441">
        <v>43101</v>
      </c>
      <c r="AJ383" s="442">
        <v>43252</v>
      </c>
      <c r="AL383" s="424" t="s">
        <v>999</v>
      </c>
      <c r="AO383" s="445"/>
      <c r="AP383" s="454">
        <v>556654</v>
      </c>
      <c r="AQ383" s="443">
        <v>43171</v>
      </c>
      <c r="AT383" s="426"/>
      <c r="AU383" s="426"/>
      <c r="AV383" s="426"/>
      <c r="AY383" s="427" t="s">
        <v>1559</v>
      </c>
      <c r="AZ383" s="373"/>
      <c r="BB383" s="374" t="s">
        <v>2214</v>
      </c>
      <c r="BC383" s="445"/>
      <c r="BE383" s="448">
        <v>0</v>
      </c>
      <c r="BF383" s="449">
        <v>0</v>
      </c>
      <c r="BG383" s="428" t="s">
        <v>1764</v>
      </c>
      <c r="BH383" s="445"/>
      <c r="BI383" s="491"/>
      <c r="BJ383" s="491">
        <v>21</v>
      </c>
      <c r="BK383" s="445" t="s">
        <v>2793</v>
      </c>
      <c r="BL383" s="419" t="s">
        <v>2794</v>
      </c>
      <c r="BM383" s="445"/>
      <c r="BN383" s="419" t="s">
        <v>1765</v>
      </c>
      <c r="BO383" s="419" t="s">
        <v>1765</v>
      </c>
      <c r="BP383" s="419" t="s">
        <v>1765</v>
      </c>
      <c r="BQ383" s="419" t="s">
        <v>1269</v>
      </c>
      <c r="BR383" s="419"/>
      <c r="BS383" s="419"/>
      <c r="BT383" s="445"/>
      <c r="BU383" s="445"/>
      <c r="BV383" s="445"/>
      <c r="BW383" s="445" t="s">
        <v>2209</v>
      </c>
      <c r="BX383" s="445"/>
      <c r="BY383" s="445"/>
    </row>
    <row r="384" spans="1:77" ht="15">
      <c r="A384" s="370" t="s">
        <v>1269</v>
      </c>
      <c r="B384" s="415" t="s">
        <v>19</v>
      </c>
      <c r="C384" s="416" t="s">
        <v>1682</v>
      </c>
      <c r="D384" s="444">
        <v>0</v>
      </c>
      <c r="E384" s="415" t="s">
        <v>1718</v>
      </c>
      <c r="F384" s="444">
        <v>3</v>
      </c>
      <c r="G384" s="415" t="s">
        <v>1661</v>
      </c>
      <c r="H384" s="444">
        <v>108</v>
      </c>
      <c r="I384" s="417" t="s">
        <v>1422</v>
      </c>
      <c r="J384" s="444">
        <v>2.1</v>
      </c>
      <c r="K384" s="444">
        <v>271</v>
      </c>
      <c r="L384" s="444">
        <v>0</v>
      </c>
      <c r="M384" s="444">
        <v>0</v>
      </c>
      <c r="N384" s="444">
        <v>1</v>
      </c>
      <c r="O384" s="444">
        <v>0</v>
      </c>
      <c r="P384" s="444">
        <v>0</v>
      </c>
      <c r="Q384" s="444">
        <v>0</v>
      </c>
      <c r="R384" s="444">
        <v>0</v>
      </c>
      <c r="S384" s="444">
        <v>0</v>
      </c>
      <c r="T384" s="444">
        <v>63</v>
      </c>
      <c r="U384" s="444">
        <v>0</v>
      </c>
      <c r="V384" s="444">
        <v>0</v>
      </c>
      <c r="W384" s="444">
        <v>0</v>
      </c>
      <c r="X384" s="418"/>
      <c r="Y384" s="445"/>
      <c r="Z384" s="420"/>
      <c r="AA384" s="421">
        <v>98.486999999999995</v>
      </c>
      <c r="AB384" s="421">
        <v>29.978000000000002</v>
      </c>
      <c r="AC384" s="454">
        <v>10</v>
      </c>
      <c r="AE384" s="419" t="s">
        <v>2278</v>
      </c>
      <c r="AF384" s="454">
        <v>1</v>
      </c>
      <c r="AG384" s="441">
        <v>43101</v>
      </c>
      <c r="AJ384" s="442">
        <v>43252</v>
      </c>
      <c r="AL384" s="424" t="s">
        <v>917</v>
      </c>
      <c r="AO384" s="445"/>
      <c r="AP384" s="454">
        <v>556654</v>
      </c>
      <c r="AQ384" s="443">
        <v>43171</v>
      </c>
      <c r="AT384" s="426"/>
      <c r="AU384" s="426"/>
      <c r="AV384" s="426"/>
      <c r="AY384" s="427" t="s">
        <v>1559</v>
      </c>
      <c r="AZ384" s="373"/>
      <c r="BB384" s="374" t="s">
        <v>2214</v>
      </c>
      <c r="BC384" s="445"/>
      <c r="BE384" s="448">
        <v>0</v>
      </c>
      <c r="BF384" s="449">
        <v>0</v>
      </c>
      <c r="BG384" s="428" t="s">
        <v>1764</v>
      </c>
      <c r="BH384" s="445"/>
      <c r="BI384" s="491"/>
      <c r="BJ384" s="491">
        <v>23</v>
      </c>
      <c r="BK384" s="445" t="s">
        <v>2795</v>
      </c>
      <c r="BL384" s="419" t="s">
        <v>2796</v>
      </c>
      <c r="BM384" s="445"/>
      <c r="BN384" s="419" t="s">
        <v>1765</v>
      </c>
      <c r="BO384" s="419" t="s">
        <v>1765</v>
      </c>
      <c r="BP384" s="419" t="s">
        <v>1765</v>
      </c>
      <c r="BQ384" s="419" t="s">
        <v>1269</v>
      </c>
      <c r="BR384" s="419"/>
      <c r="BS384" s="419"/>
      <c r="BT384" s="445"/>
      <c r="BU384" s="445"/>
      <c r="BV384" s="445"/>
      <c r="BW384" s="445" t="s">
        <v>2209</v>
      </c>
      <c r="BX384" s="445"/>
      <c r="BY384" s="445"/>
    </row>
    <row r="385" spans="1:77" ht="15">
      <c r="A385" s="370" t="s">
        <v>1269</v>
      </c>
      <c r="B385" s="415" t="s">
        <v>19</v>
      </c>
      <c r="C385" s="416" t="s">
        <v>1693</v>
      </c>
      <c r="D385" s="444">
        <v>0</v>
      </c>
      <c r="E385" s="415" t="s">
        <v>1716</v>
      </c>
      <c r="F385" s="444">
        <v>3</v>
      </c>
      <c r="G385" s="415" t="s">
        <v>1661</v>
      </c>
      <c r="H385" s="444">
        <v>133</v>
      </c>
      <c r="I385" s="417" t="s">
        <v>1684</v>
      </c>
      <c r="J385" s="444">
        <v>7.2</v>
      </c>
      <c r="K385" s="444">
        <v>973</v>
      </c>
      <c r="L385" s="444">
        <v>0</v>
      </c>
      <c r="M385" s="444">
        <v>0</v>
      </c>
      <c r="N385" s="444">
        <v>0</v>
      </c>
      <c r="O385" s="444">
        <v>0</v>
      </c>
      <c r="P385" s="444">
        <v>0</v>
      </c>
      <c r="Q385" s="444">
        <v>0</v>
      </c>
      <c r="R385" s="444">
        <v>0</v>
      </c>
      <c r="S385" s="444">
        <v>0</v>
      </c>
      <c r="T385" s="444">
        <v>0</v>
      </c>
      <c r="U385" s="444">
        <v>0</v>
      </c>
      <c r="V385" s="444">
        <v>0</v>
      </c>
      <c r="W385" s="444">
        <v>82</v>
      </c>
      <c r="X385" s="418"/>
      <c r="Y385" s="445"/>
      <c r="Z385" s="420"/>
      <c r="AA385" s="421">
        <v>194.49600000000001</v>
      </c>
      <c r="AB385" s="421">
        <v>29.978000000000002</v>
      </c>
      <c r="AC385" s="454">
        <v>13</v>
      </c>
      <c r="AE385" s="419" t="s">
        <v>2279</v>
      </c>
      <c r="AF385" s="454">
        <v>1</v>
      </c>
      <c r="AG385" s="441">
        <v>43101</v>
      </c>
      <c r="AJ385" s="442">
        <v>43252</v>
      </c>
      <c r="AL385" s="424" t="s">
        <v>912</v>
      </c>
      <c r="AO385" s="445"/>
      <c r="AP385" s="454">
        <v>556640</v>
      </c>
      <c r="AQ385" s="443">
        <v>43102</v>
      </c>
      <c r="AT385" s="426"/>
      <c r="AU385" s="426"/>
      <c r="AV385" s="426"/>
      <c r="AY385" s="427" t="s">
        <v>1559</v>
      </c>
      <c r="AZ385" s="373"/>
      <c r="BB385" s="374" t="s">
        <v>2214</v>
      </c>
      <c r="BC385" s="445"/>
      <c r="BE385" s="448">
        <v>0</v>
      </c>
      <c r="BF385" s="449">
        <v>0</v>
      </c>
      <c r="BG385" s="428" t="s">
        <v>1764</v>
      </c>
      <c r="BH385" s="445"/>
      <c r="BI385" s="491"/>
      <c r="BJ385" s="491">
        <v>25</v>
      </c>
      <c r="BK385" s="445" t="s">
        <v>2973</v>
      </c>
      <c r="BL385" s="419" t="s">
        <v>2974</v>
      </c>
      <c r="BM385" s="445"/>
      <c r="BN385" s="419" t="s">
        <v>1765</v>
      </c>
      <c r="BO385" s="419" t="s">
        <v>1765</v>
      </c>
      <c r="BP385" s="419" t="s">
        <v>1765</v>
      </c>
      <c r="BQ385" s="419" t="s">
        <v>1269</v>
      </c>
      <c r="BR385" s="419"/>
      <c r="BS385" s="419"/>
      <c r="BT385" s="445"/>
      <c r="BU385" s="445"/>
      <c r="BV385" s="445"/>
      <c r="BW385" s="445" t="s">
        <v>2209</v>
      </c>
      <c r="BX385" s="445"/>
      <c r="BY385" s="445"/>
    </row>
    <row r="386" spans="1:77" ht="15">
      <c r="A386" s="370" t="s">
        <v>1269</v>
      </c>
      <c r="B386" s="415" t="s">
        <v>85</v>
      </c>
      <c r="C386" s="416" t="s">
        <v>2131</v>
      </c>
      <c r="D386" s="444">
        <v>0</v>
      </c>
      <c r="E386" s="415" t="s">
        <v>1718</v>
      </c>
      <c r="F386" s="444">
        <v>3</v>
      </c>
      <c r="G386" s="415" t="s">
        <v>1661</v>
      </c>
      <c r="H386" s="444">
        <v>126</v>
      </c>
      <c r="I386" s="417" t="s">
        <v>1664</v>
      </c>
      <c r="J386" s="444">
        <v>4.5</v>
      </c>
      <c r="K386" s="444">
        <v>1031</v>
      </c>
      <c r="L386" s="444">
        <v>0</v>
      </c>
      <c r="M386" s="444">
        <v>169</v>
      </c>
      <c r="N386" s="444">
        <v>0</v>
      </c>
      <c r="O386" s="444">
        <v>0</v>
      </c>
      <c r="P386" s="444">
        <v>0</v>
      </c>
      <c r="Q386" s="444">
        <v>0</v>
      </c>
      <c r="R386" s="444">
        <v>0</v>
      </c>
      <c r="S386" s="444">
        <v>172</v>
      </c>
      <c r="T386" s="444">
        <v>0</v>
      </c>
      <c r="U386" s="444">
        <v>0</v>
      </c>
      <c r="V386" s="444">
        <v>172</v>
      </c>
      <c r="W386" s="444">
        <v>0</v>
      </c>
      <c r="X386" s="418"/>
      <c r="Y386" s="445"/>
      <c r="Z386" s="420"/>
      <c r="AA386" s="421">
        <v>61.523000000000003</v>
      </c>
      <c r="AB386" s="421">
        <v>29.978000000000002</v>
      </c>
      <c r="AC386" s="454">
        <v>69</v>
      </c>
      <c r="AE386" s="419" t="s">
        <v>2280</v>
      </c>
      <c r="AF386" s="454">
        <v>1</v>
      </c>
      <c r="AG386" s="441">
        <v>43101</v>
      </c>
      <c r="AJ386" s="442">
        <v>43252</v>
      </c>
      <c r="AL386" s="424" t="s">
        <v>999</v>
      </c>
      <c r="AO386" s="445"/>
      <c r="AP386" s="454">
        <v>556672</v>
      </c>
      <c r="AQ386" s="443">
        <v>43214</v>
      </c>
      <c r="AT386" s="426"/>
      <c r="AU386" s="426"/>
      <c r="AV386" s="426"/>
      <c r="AY386" s="427" t="s">
        <v>1717</v>
      </c>
      <c r="AZ386" s="373"/>
      <c r="BB386" s="374" t="s">
        <v>1727</v>
      </c>
      <c r="BC386" s="445"/>
      <c r="BE386" s="448">
        <v>0</v>
      </c>
      <c r="BF386" s="449">
        <v>0</v>
      </c>
      <c r="BG386" s="428" t="s">
        <v>1764</v>
      </c>
      <c r="BH386" s="445"/>
      <c r="BI386" s="491"/>
      <c r="BJ386" s="491">
        <v>1</v>
      </c>
      <c r="BK386" s="445" t="s">
        <v>3072</v>
      </c>
      <c r="BL386" s="419" t="s">
        <v>3073</v>
      </c>
      <c r="BM386" s="445"/>
      <c r="BN386" s="419" t="s">
        <v>1765</v>
      </c>
      <c r="BO386" s="419" t="s">
        <v>1765</v>
      </c>
      <c r="BP386" s="419" t="s">
        <v>1765</v>
      </c>
      <c r="BQ386" s="419" t="s">
        <v>1269</v>
      </c>
      <c r="BR386" s="419"/>
      <c r="BS386" s="419"/>
      <c r="BT386" s="445"/>
      <c r="BU386" s="445"/>
      <c r="BV386" s="445"/>
      <c r="BW386" s="445" t="s">
        <v>2209</v>
      </c>
      <c r="BX386" s="445"/>
      <c r="BY386" s="445"/>
    </row>
    <row r="387" spans="1:77" ht="15">
      <c r="A387" s="370" t="s">
        <v>1269</v>
      </c>
      <c r="B387" s="415" t="s">
        <v>85</v>
      </c>
      <c r="C387" s="416" t="s">
        <v>2131</v>
      </c>
      <c r="D387" s="444">
        <v>0</v>
      </c>
      <c r="E387" s="415" t="s">
        <v>1718</v>
      </c>
      <c r="F387" s="444">
        <v>3</v>
      </c>
      <c r="G387" s="415" t="s">
        <v>1661</v>
      </c>
      <c r="H387" s="444">
        <v>126</v>
      </c>
      <c r="I387" s="417" t="s">
        <v>1660</v>
      </c>
      <c r="J387" s="444">
        <v>1.7</v>
      </c>
      <c r="K387" s="444">
        <v>553</v>
      </c>
      <c r="L387" s="444">
        <v>0</v>
      </c>
      <c r="M387" s="444">
        <v>51</v>
      </c>
      <c r="N387" s="444">
        <v>0</v>
      </c>
      <c r="O387" s="444">
        <v>0</v>
      </c>
      <c r="P387" s="444">
        <v>0</v>
      </c>
      <c r="Q387" s="444">
        <v>0</v>
      </c>
      <c r="R387" s="444">
        <v>0</v>
      </c>
      <c r="S387" s="444">
        <v>93</v>
      </c>
      <c r="T387" s="444">
        <v>0</v>
      </c>
      <c r="U387" s="444">
        <v>0</v>
      </c>
      <c r="V387" s="444">
        <v>93</v>
      </c>
      <c r="W387" s="444">
        <v>0</v>
      </c>
      <c r="X387" s="418"/>
      <c r="Y387" s="445"/>
      <c r="Z387" s="420"/>
      <c r="AA387" s="421">
        <v>65.912999999999997</v>
      </c>
      <c r="AB387" s="421">
        <v>29.978000000000002</v>
      </c>
      <c r="AC387" s="454">
        <v>32</v>
      </c>
      <c r="AE387" s="419" t="s">
        <v>2281</v>
      </c>
      <c r="AF387" s="454">
        <v>1</v>
      </c>
      <c r="AG387" s="441">
        <v>43101</v>
      </c>
      <c r="AJ387" s="442">
        <v>43252</v>
      </c>
      <c r="AL387" s="424" t="s">
        <v>999</v>
      </c>
      <c r="AO387" s="445"/>
      <c r="AP387" s="454">
        <v>556672</v>
      </c>
      <c r="AQ387" s="443">
        <v>43214</v>
      </c>
      <c r="AT387" s="426"/>
      <c r="AU387" s="426"/>
      <c r="AV387" s="426"/>
      <c r="AY387" s="427" t="s">
        <v>1717</v>
      </c>
      <c r="AZ387" s="373"/>
      <c r="BB387" s="374" t="s">
        <v>1727</v>
      </c>
      <c r="BC387" s="445"/>
      <c r="BE387" s="448">
        <v>0</v>
      </c>
      <c r="BF387" s="449">
        <v>0</v>
      </c>
      <c r="BG387" s="428" t="s">
        <v>1764</v>
      </c>
      <c r="BH387" s="445"/>
      <c r="BI387" s="491"/>
      <c r="BJ387" s="491">
        <v>2</v>
      </c>
      <c r="BK387" s="445" t="s">
        <v>3074</v>
      </c>
      <c r="BL387" s="419" t="s">
        <v>3075</v>
      </c>
      <c r="BM387" s="445"/>
      <c r="BN387" s="419" t="s">
        <v>1765</v>
      </c>
      <c r="BO387" s="419" t="s">
        <v>1765</v>
      </c>
      <c r="BP387" s="419" t="s">
        <v>1765</v>
      </c>
      <c r="BQ387" s="419" t="s">
        <v>1269</v>
      </c>
      <c r="BR387" s="419"/>
      <c r="BS387" s="419"/>
      <c r="BT387" s="445"/>
      <c r="BU387" s="445"/>
      <c r="BV387" s="445"/>
      <c r="BW387" s="445" t="s">
        <v>2209</v>
      </c>
      <c r="BX387" s="445"/>
      <c r="BY387" s="445"/>
    </row>
    <row r="388" spans="1:77" ht="15">
      <c r="A388" s="370" t="s">
        <v>1269</v>
      </c>
      <c r="B388" s="415" t="s">
        <v>85</v>
      </c>
      <c r="C388" s="416" t="s">
        <v>2131</v>
      </c>
      <c r="D388" s="444">
        <v>0</v>
      </c>
      <c r="E388" s="415" t="s">
        <v>1718</v>
      </c>
      <c r="F388" s="444">
        <v>3</v>
      </c>
      <c r="G388" s="415" t="s">
        <v>1661</v>
      </c>
      <c r="H388" s="444">
        <v>126</v>
      </c>
      <c r="I388" s="417" t="s">
        <v>1660</v>
      </c>
      <c r="J388" s="444">
        <v>1.7</v>
      </c>
      <c r="K388" s="444">
        <v>553</v>
      </c>
      <c r="L388" s="444">
        <v>0</v>
      </c>
      <c r="M388" s="444">
        <v>51</v>
      </c>
      <c r="N388" s="444">
        <v>0</v>
      </c>
      <c r="O388" s="444">
        <v>0</v>
      </c>
      <c r="P388" s="444">
        <v>0</v>
      </c>
      <c r="Q388" s="444">
        <v>0</v>
      </c>
      <c r="R388" s="444">
        <v>0</v>
      </c>
      <c r="S388" s="444">
        <v>93</v>
      </c>
      <c r="T388" s="444">
        <v>0</v>
      </c>
      <c r="U388" s="444">
        <v>0</v>
      </c>
      <c r="V388" s="444">
        <v>93</v>
      </c>
      <c r="W388" s="444">
        <v>0</v>
      </c>
      <c r="X388" s="418"/>
      <c r="Y388" s="445"/>
      <c r="Z388" s="420"/>
      <c r="AA388" s="421">
        <v>65.912999999999997</v>
      </c>
      <c r="AB388" s="421">
        <v>29.978000000000002</v>
      </c>
      <c r="AC388" s="454">
        <v>32</v>
      </c>
      <c r="AE388" s="419" t="s">
        <v>2281</v>
      </c>
      <c r="AF388" s="454">
        <v>1</v>
      </c>
      <c r="AG388" s="441">
        <v>43101</v>
      </c>
      <c r="AJ388" s="442">
        <v>43252</v>
      </c>
      <c r="AL388" s="424" t="s">
        <v>999</v>
      </c>
      <c r="AO388" s="445"/>
      <c r="AP388" s="454">
        <v>556672</v>
      </c>
      <c r="AQ388" s="443">
        <v>43214</v>
      </c>
      <c r="AT388" s="426"/>
      <c r="AU388" s="426"/>
      <c r="AV388" s="426"/>
      <c r="AY388" s="427" t="s">
        <v>1717</v>
      </c>
      <c r="AZ388" s="373"/>
      <c r="BB388" s="374" t="s">
        <v>1727</v>
      </c>
      <c r="BC388" s="445"/>
      <c r="BE388" s="448">
        <v>0</v>
      </c>
      <c r="BF388" s="449">
        <v>0</v>
      </c>
      <c r="BG388" s="428" t="s">
        <v>1764</v>
      </c>
      <c r="BH388" s="445"/>
      <c r="BI388" s="491"/>
      <c r="BJ388" s="491">
        <v>2</v>
      </c>
      <c r="BK388" s="445" t="s">
        <v>3074</v>
      </c>
      <c r="BL388" s="419" t="s">
        <v>3075</v>
      </c>
      <c r="BM388" s="445"/>
      <c r="BN388" s="419" t="s">
        <v>1765</v>
      </c>
      <c r="BO388" s="419" t="s">
        <v>1765</v>
      </c>
      <c r="BP388" s="419" t="s">
        <v>1765</v>
      </c>
      <c r="BQ388" s="419" t="s">
        <v>1269</v>
      </c>
      <c r="BR388" s="419"/>
      <c r="BS388" s="419"/>
      <c r="BT388" s="445"/>
      <c r="BU388" s="445"/>
      <c r="BV388" s="445"/>
      <c r="BW388" s="445" t="s">
        <v>2209</v>
      </c>
      <c r="BX388" s="445"/>
      <c r="BY388" s="445"/>
    </row>
    <row r="389" spans="1:77" ht="15">
      <c r="A389" s="370" t="s">
        <v>31</v>
      </c>
      <c r="B389" s="415" t="s">
        <v>19</v>
      </c>
      <c r="C389" s="416" t="s">
        <v>31</v>
      </c>
      <c r="D389" s="444">
        <v>0</v>
      </c>
      <c r="E389" s="415" t="s">
        <v>1716</v>
      </c>
      <c r="F389" s="444">
        <v>5</v>
      </c>
      <c r="G389" s="415" t="s">
        <v>1661</v>
      </c>
      <c r="H389" s="444">
        <v>137</v>
      </c>
      <c r="I389" s="417" t="s">
        <v>2162</v>
      </c>
      <c r="J389" s="444">
        <v>2.8</v>
      </c>
      <c r="K389" s="444">
        <v>1608</v>
      </c>
      <c r="L389" s="444">
        <v>0</v>
      </c>
      <c r="M389" s="444">
        <v>0</v>
      </c>
      <c r="N389" s="444">
        <v>0</v>
      </c>
      <c r="O389" s="444">
        <v>0</v>
      </c>
      <c r="P389" s="444">
        <v>0</v>
      </c>
      <c r="Q389" s="444">
        <v>0</v>
      </c>
      <c r="R389" s="444">
        <v>1</v>
      </c>
      <c r="S389" s="444">
        <v>16</v>
      </c>
      <c r="T389" s="444">
        <v>93</v>
      </c>
      <c r="U389" s="444">
        <v>2</v>
      </c>
      <c r="V389" s="444">
        <v>13</v>
      </c>
      <c r="W389" s="444">
        <v>197</v>
      </c>
      <c r="X389" s="418"/>
      <c r="Y389" s="445"/>
      <c r="Z389" s="420"/>
      <c r="AA389" s="421">
        <v>158.554</v>
      </c>
      <c r="AB389" s="421">
        <v>52.459000000000003</v>
      </c>
      <c r="AC389" s="454">
        <v>48</v>
      </c>
      <c r="AE389" s="419" t="s">
        <v>2274</v>
      </c>
      <c r="AF389" s="454">
        <v>1</v>
      </c>
      <c r="AG389" s="441">
        <v>43101</v>
      </c>
      <c r="AJ389" s="442">
        <v>43252</v>
      </c>
      <c r="AL389" s="424" t="s">
        <v>927</v>
      </c>
      <c r="AO389" s="445"/>
      <c r="AP389" s="454">
        <v>556620</v>
      </c>
      <c r="AQ389" s="443">
        <v>43077</v>
      </c>
      <c r="AT389" s="426"/>
      <c r="AU389" s="426"/>
      <c r="AV389" s="426"/>
      <c r="AY389" s="427" t="s">
        <v>1559</v>
      </c>
      <c r="AZ389" s="373"/>
      <c r="BB389" s="374" t="s">
        <v>2214</v>
      </c>
      <c r="BC389" s="445"/>
      <c r="BE389" s="448">
        <v>5</v>
      </c>
      <c r="BF389" s="449">
        <v>20</v>
      </c>
      <c r="BG389" s="428" t="s">
        <v>1764</v>
      </c>
      <c r="BH389" s="445"/>
      <c r="BI389" s="491"/>
      <c r="BJ389" s="491">
        <v>3</v>
      </c>
      <c r="BK389" s="445" t="s">
        <v>3076</v>
      </c>
      <c r="BL389" s="419" t="s">
        <v>3077</v>
      </c>
      <c r="BM389" s="445"/>
      <c r="BN389" s="419" t="s">
        <v>1766</v>
      </c>
      <c r="BO389" s="419" t="s">
        <v>1766</v>
      </c>
      <c r="BP389" s="419" t="s">
        <v>1766</v>
      </c>
      <c r="BQ389" s="419" t="s">
        <v>31</v>
      </c>
      <c r="BR389" s="419"/>
      <c r="BS389" s="419"/>
      <c r="BT389" s="445"/>
      <c r="BU389" s="445"/>
      <c r="BV389" s="445"/>
      <c r="BW389" s="445" t="s">
        <v>2282</v>
      </c>
      <c r="BX389" s="445"/>
      <c r="BY389" s="445"/>
    </row>
    <row r="390" spans="1:77" ht="15">
      <c r="A390" s="370" t="s">
        <v>1269</v>
      </c>
      <c r="B390" s="415" t="s">
        <v>85</v>
      </c>
      <c r="C390" s="416" t="s">
        <v>2131</v>
      </c>
      <c r="D390" s="444">
        <v>0</v>
      </c>
      <c r="E390" s="415" t="s">
        <v>1718</v>
      </c>
      <c r="F390" s="444">
        <v>3</v>
      </c>
      <c r="G390" s="415" t="s">
        <v>1661</v>
      </c>
      <c r="H390" s="444">
        <v>117</v>
      </c>
      <c r="I390" s="417" t="s">
        <v>1686</v>
      </c>
      <c r="J390" s="444">
        <v>14.4</v>
      </c>
      <c r="K390" s="444">
        <v>2608</v>
      </c>
      <c r="L390" s="444">
        <v>0</v>
      </c>
      <c r="M390" s="444">
        <v>270</v>
      </c>
      <c r="N390" s="444">
        <v>0</v>
      </c>
      <c r="O390" s="444">
        <v>0</v>
      </c>
      <c r="P390" s="444">
        <v>0</v>
      </c>
      <c r="Q390" s="444">
        <v>0</v>
      </c>
      <c r="R390" s="444">
        <v>0</v>
      </c>
      <c r="S390" s="444">
        <v>360</v>
      </c>
      <c r="T390" s="444">
        <v>0</v>
      </c>
      <c r="U390" s="444">
        <v>0</v>
      </c>
      <c r="V390" s="444">
        <v>348</v>
      </c>
      <c r="W390" s="444">
        <v>0</v>
      </c>
      <c r="X390" s="418"/>
      <c r="Y390" s="445"/>
      <c r="Z390" s="420"/>
      <c r="AA390" s="421">
        <v>65.994</v>
      </c>
      <c r="AB390" s="421">
        <v>29.978000000000002</v>
      </c>
      <c r="AC390" s="454">
        <v>138</v>
      </c>
      <c r="AE390" s="419" t="s">
        <v>2283</v>
      </c>
      <c r="AF390" s="454">
        <v>1</v>
      </c>
      <c r="AG390" s="441">
        <v>43101</v>
      </c>
      <c r="AJ390" s="442">
        <v>43277</v>
      </c>
      <c r="AL390" s="424" t="s">
        <v>1198</v>
      </c>
      <c r="AO390" s="445"/>
      <c r="AP390" s="454">
        <v>556712</v>
      </c>
      <c r="AQ390" s="443">
        <v>43277</v>
      </c>
      <c r="AT390" s="426"/>
      <c r="AU390" s="426"/>
      <c r="AV390" s="426"/>
      <c r="AY390" s="427" t="s">
        <v>1717</v>
      </c>
      <c r="AZ390" s="373"/>
      <c r="BB390" s="374" t="s">
        <v>1727</v>
      </c>
      <c r="BC390" s="445"/>
      <c r="BE390" s="448">
        <v>0</v>
      </c>
      <c r="BF390" s="449">
        <v>0</v>
      </c>
      <c r="BG390" s="428" t="s">
        <v>1764</v>
      </c>
      <c r="BH390" s="445"/>
      <c r="BI390" s="491"/>
      <c r="BJ390" s="491">
        <v>3</v>
      </c>
      <c r="BK390" s="445" t="s">
        <v>108</v>
      </c>
      <c r="BL390" s="419" t="s">
        <v>3078</v>
      </c>
      <c r="BM390" s="445"/>
      <c r="BN390" s="419" t="s">
        <v>1765</v>
      </c>
      <c r="BO390" s="419" t="s">
        <v>1765</v>
      </c>
      <c r="BP390" s="419" t="s">
        <v>1765</v>
      </c>
      <c r="BQ390" s="419" t="s">
        <v>1269</v>
      </c>
      <c r="BR390" s="419"/>
      <c r="BS390" s="419"/>
      <c r="BT390" s="445"/>
      <c r="BU390" s="445"/>
      <c r="BV390" s="445"/>
      <c r="BW390" s="445" t="s">
        <v>2282</v>
      </c>
      <c r="BX390" s="445"/>
      <c r="BY390" s="445"/>
    </row>
    <row r="391" spans="1:77" ht="15">
      <c r="A391" s="370" t="s">
        <v>1269</v>
      </c>
      <c r="B391" s="415" t="s">
        <v>19</v>
      </c>
      <c r="C391" s="416" t="s">
        <v>1619</v>
      </c>
      <c r="D391" s="444">
        <v>0</v>
      </c>
      <c r="E391" s="415" t="s">
        <v>1718</v>
      </c>
      <c r="F391" s="444">
        <v>3</v>
      </c>
      <c r="G391" s="415" t="s">
        <v>1661</v>
      </c>
      <c r="H391" s="444">
        <v>112</v>
      </c>
      <c r="I391" s="417" t="s">
        <v>1687</v>
      </c>
      <c r="J391" s="444">
        <v>8.3000000000000007</v>
      </c>
      <c r="K391" s="444">
        <v>880</v>
      </c>
      <c r="L391" s="444">
        <v>0</v>
      </c>
      <c r="M391" s="444">
        <v>0</v>
      </c>
      <c r="N391" s="444">
        <v>26</v>
      </c>
      <c r="O391" s="444">
        <v>0</v>
      </c>
      <c r="P391" s="444">
        <v>0</v>
      </c>
      <c r="Q391" s="444">
        <v>0</v>
      </c>
      <c r="R391" s="444">
        <v>0</v>
      </c>
      <c r="S391" s="444">
        <v>0</v>
      </c>
      <c r="T391" s="444">
        <v>0</v>
      </c>
      <c r="U391" s="444">
        <v>0</v>
      </c>
      <c r="V391" s="444">
        <v>0</v>
      </c>
      <c r="W391" s="444">
        <v>225</v>
      </c>
      <c r="X391" s="418"/>
      <c r="Y391" s="445"/>
      <c r="Z391" s="420"/>
      <c r="AA391" s="421">
        <v>89.081999999999994</v>
      </c>
      <c r="AB391" s="421">
        <v>29.978000000000002</v>
      </c>
      <c r="AC391" s="454">
        <v>24</v>
      </c>
      <c r="AE391" s="419" t="s">
        <v>2284</v>
      </c>
      <c r="AF391" s="454">
        <v>1</v>
      </c>
      <c r="AG391" s="441">
        <v>43101</v>
      </c>
      <c r="AJ391" s="442">
        <v>43252</v>
      </c>
      <c r="AL391" s="424" t="s">
        <v>1006</v>
      </c>
      <c r="AO391" s="445"/>
      <c r="AP391" s="454">
        <v>556641</v>
      </c>
      <c r="AQ391" s="443">
        <v>43102</v>
      </c>
      <c r="AT391" s="426"/>
      <c r="AU391" s="426"/>
      <c r="AV391" s="426"/>
      <c r="AY391" s="427" t="s">
        <v>1559</v>
      </c>
      <c r="AZ391" s="373"/>
      <c r="BB391" s="374" t="s">
        <v>2214</v>
      </c>
      <c r="BC391" s="445"/>
      <c r="BE391" s="448">
        <v>0</v>
      </c>
      <c r="BF391" s="449">
        <v>0</v>
      </c>
      <c r="BG391" s="428" t="s">
        <v>1764</v>
      </c>
      <c r="BH391" s="445"/>
      <c r="BI391" s="491"/>
      <c r="BJ391" s="491">
        <v>4</v>
      </c>
      <c r="BK391" s="445" t="s">
        <v>3079</v>
      </c>
      <c r="BL391" s="419" t="s">
        <v>3080</v>
      </c>
      <c r="BM391" s="445"/>
      <c r="BN391" s="419" t="s">
        <v>1765</v>
      </c>
      <c r="BO391" s="419" t="s">
        <v>1765</v>
      </c>
      <c r="BP391" s="419" t="s">
        <v>1765</v>
      </c>
      <c r="BQ391" s="419" t="s">
        <v>1269</v>
      </c>
      <c r="BR391" s="419"/>
      <c r="BS391" s="419"/>
      <c r="BT391" s="445"/>
      <c r="BU391" s="445"/>
      <c r="BV391" s="445"/>
      <c r="BW391" s="445" t="s">
        <v>2282</v>
      </c>
      <c r="BX391" s="445"/>
      <c r="BY391" s="445"/>
    </row>
    <row r="392" spans="1:77" ht="15">
      <c r="A392" s="370" t="s">
        <v>1269</v>
      </c>
      <c r="B392" s="415" t="s">
        <v>19</v>
      </c>
      <c r="C392" s="416" t="s">
        <v>1619</v>
      </c>
      <c r="D392" s="444">
        <v>0</v>
      </c>
      <c r="E392" s="415" t="s">
        <v>1718</v>
      </c>
      <c r="F392" s="444">
        <v>3</v>
      </c>
      <c r="G392" s="415" t="s">
        <v>1661</v>
      </c>
      <c r="H392" s="444">
        <v>98</v>
      </c>
      <c r="I392" s="417" t="s">
        <v>1768</v>
      </c>
      <c r="J392" s="444">
        <v>5</v>
      </c>
      <c r="K392" s="444">
        <v>423</v>
      </c>
      <c r="L392" s="444">
        <v>0</v>
      </c>
      <c r="M392" s="444">
        <v>0</v>
      </c>
      <c r="N392" s="444">
        <v>1</v>
      </c>
      <c r="O392" s="444">
        <v>0</v>
      </c>
      <c r="P392" s="444">
        <v>0</v>
      </c>
      <c r="Q392" s="444">
        <v>0</v>
      </c>
      <c r="R392" s="444">
        <v>0</v>
      </c>
      <c r="S392" s="444">
        <v>0</v>
      </c>
      <c r="T392" s="444">
        <v>0</v>
      </c>
      <c r="U392" s="444">
        <v>0</v>
      </c>
      <c r="V392" s="444">
        <v>0</v>
      </c>
      <c r="W392" s="444">
        <v>80</v>
      </c>
      <c r="X392" s="418"/>
      <c r="Y392" s="445"/>
      <c r="Z392" s="420"/>
      <c r="AA392" s="421">
        <v>114.902</v>
      </c>
      <c r="AB392" s="421">
        <v>29.978000000000002</v>
      </c>
      <c r="AC392" s="454">
        <v>8</v>
      </c>
      <c r="AE392" s="419" t="s">
        <v>2285</v>
      </c>
      <c r="AF392" s="454">
        <v>1</v>
      </c>
      <c r="AG392" s="441">
        <v>43101</v>
      </c>
      <c r="AJ392" s="442">
        <v>43252</v>
      </c>
      <c r="AL392" s="424" t="s">
        <v>917</v>
      </c>
      <c r="AO392" s="445"/>
      <c r="AP392" s="454">
        <v>556641</v>
      </c>
      <c r="AQ392" s="443">
        <v>43102</v>
      </c>
      <c r="AT392" s="426"/>
      <c r="AU392" s="426"/>
      <c r="AV392" s="426"/>
      <c r="AY392" s="427" t="s">
        <v>1559</v>
      </c>
      <c r="AZ392" s="373"/>
      <c r="BB392" s="374" t="s">
        <v>2214</v>
      </c>
      <c r="BC392" s="445"/>
      <c r="BE392" s="448">
        <v>0</v>
      </c>
      <c r="BF392" s="449">
        <v>0</v>
      </c>
      <c r="BG392" s="428" t="s">
        <v>1764</v>
      </c>
      <c r="BH392" s="445"/>
      <c r="BI392" s="491"/>
      <c r="BJ392" s="491">
        <v>1</v>
      </c>
      <c r="BK392" s="445" t="s">
        <v>3081</v>
      </c>
      <c r="BL392" s="419" t="s">
        <v>3082</v>
      </c>
      <c r="BM392" s="445"/>
      <c r="BN392" s="419" t="s">
        <v>1765</v>
      </c>
      <c r="BO392" s="419" t="s">
        <v>1765</v>
      </c>
      <c r="BP392" s="419" t="s">
        <v>1765</v>
      </c>
      <c r="BQ392" s="419" t="s">
        <v>1269</v>
      </c>
      <c r="BR392" s="419"/>
      <c r="BS392" s="419"/>
      <c r="BT392" s="445"/>
      <c r="BU392" s="445"/>
      <c r="BV392" s="445"/>
      <c r="BW392" s="445" t="s">
        <v>2282</v>
      </c>
      <c r="BX392" s="445"/>
      <c r="BY392" s="445"/>
    </row>
    <row r="393" spans="1:77" ht="15">
      <c r="A393" s="370" t="s">
        <v>1269</v>
      </c>
      <c r="B393" s="415" t="s">
        <v>19</v>
      </c>
      <c r="C393" s="416" t="s">
        <v>1693</v>
      </c>
      <c r="D393" s="444">
        <v>0</v>
      </c>
      <c r="E393" s="415" t="s">
        <v>1718</v>
      </c>
      <c r="F393" s="444">
        <v>3</v>
      </c>
      <c r="G393" s="415" t="s">
        <v>1661</v>
      </c>
      <c r="H393" s="444">
        <v>98</v>
      </c>
      <c r="I393" s="417" t="s">
        <v>2169</v>
      </c>
      <c r="J393" s="444">
        <v>3.6</v>
      </c>
      <c r="K393" s="444">
        <v>287</v>
      </c>
      <c r="L393" s="444">
        <v>0</v>
      </c>
      <c r="M393" s="444">
        <v>0</v>
      </c>
      <c r="N393" s="444">
        <v>0</v>
      </c>
      <c r="O393" s="444">
        <v>0</v>
      </c>
      <c r="P393" s="444">
        <v>0</v>
      </c>
      <c r="Q393" s="444">
        <v>0</v>
      </c>
      <c r="R393" s="444">
        <v>0</v>
      </c>
      <c r="S393" s="444">
        <v>0</v>
      </c>
      <c r="T393" s="444">
        <v>0</v>
      </c>
      <c r="U393" s="444">
        <v>0</v>
      </c>
      <c r="V393" s="444">
        <v>0</v>
      </c>
      <c r="W393" s="444">
        <v>23</v>
      </c>
      <c r="X393" s="418"/>
      <c r="Y393" s="445"/>
      <c r="Z393" s="420"/>
      <c r="AA393" s="421">
        <v>210.17</v>
      </c>
      <c r="AB393" s="421">
        <v>29.978000000000002</v>
      </c>
      <c r="AC393" s="454">
        <v>0</v>
      </c>
      <c r="AE393" s="419" t="s">
        <v>2286</v>
      </c>
      <c r="AF393" s="454">
        <v>1</v>
      </c>
      <c r="AG393" s="441">
        <v>43101</v>
      </c>
      <c r="AJ393" s="442">
        <v>43252</v>
      </c>
      <c r="AL393" s="424" t="s">
        <v>917</v>
      </c>
      <c r="AO393" s="445"/>
      <c r="AP393" s="454">
        <v>556640</v>
      </c>
      <c r="AQ393" s="443">
        <v>43102</v>
      </c>
      <c r="AT393" s="426"/>
      <c r="AU393" s="426"/>
      <c r="AV393" s="426"/>
      <c r="AY393" s="427" t="s">
        <v>1559</v>
      </c>
      <c r="AZ393" s="373"/>
      <c r="BB393" s="374" t="s">
        <v>2214</v>
      </c>
      <c r="BC393" s="445"/>
      <c r="BE393" s="448">
        <v>0</v>
      </c>
      <c r="BF393" s="449">
        <v>0</v>
      </c>
      <c r="BG393" s="428" t="s">
        <v>1764</v>
      </c>
      <c r="BH393" s="445"/>
      <c r="BI393" s="491"/>
      <c r="BJ393" s="491">
        <v>2</v>
      </c>
      <c r="BK393" s="445" t="s">
        <v>3083</v>
      </c>
      <c r="BL393" s="419" t="s">
        <v>3084</v>
      </c>
      <c r="BM393" s="445"/>
      <c r="BN393" s="419" t="s">
        <v>1765</v>
      </c>
      <c r="BO393" s="419" t="s">
        <v>1765</v>
      </c>
      <c r="BP393" s="419" t="s">
        <v>1765</v>
      </c>
      <c r="BQ393" s="419" t="s">
        <v>1269</v>
      </c>
      <c r="BR393" s="419"/>
      <c r="BS393" s="419"/>
      <c r="BT393" s="445"/>
      <c r="BU393" s="445"/>
      <c r="BV393" s="445"/>
      <c r="BW393" s="445" t="s">
        <v>2282</v>
      </c>
      <c r="BX393" s="445"/>
      <c r="BY393" s="445"/>
    </row>
    <row r="394" spans="1:77" ht="15">
      <c r="A394" s="370" t="s">
        <v>1783</v>
      </c>
      <c r="B394" s="415" t="s">
        <v>19</v>
      </c>
      <c r="C394" s="416" t="s">
        <v>1784</v>
      </c>
      <c r="D394" s="444">
        <v>0</v>
      </c>
      <c r="E394" s="415" t="s">
        <v>1716</v>
      </c>
      <c r="F394" s="444">
        <v>3</v>
      </c>
      <c r="G394" s="415" t="s">
        <v>1750</v>
      </c>
      <c r="H394" s="444">
        <v>81</v>
      </c>
      <c r="I394" s="417" t="s">
        <v>1687</v>
      </c>
      <c r="J394" s="444">
        <v>4.2</v>
      </c>
      <c r="K394" s="444">
        <v>0</v>
      </c>
      <c r="L394" s="444"/>
      <c r="M394" s="444">
        <v>0</v>
      </c>
      <c r="N394" s="444">
        <v>400</v>
      </c>
      <c r="O394" s="444"/>
      <c r="P394" s="444"/>
      <c r="Q394" s="444">
        <v>0</v>
      </c>
      <c r="R394" s="444"/>
      <c r="S394" s="444">
        <v>0</v>
      </c>
      <c r="T394" s="444">
        <v>0</v>
      </c>
      <c r="U394" s="444"/>
      <c r="V394" s="444">
        <v>0</v>
      </c>
      <c r="W394" s="444">
        <v>0</v>
      </c>
      <c r="X394" s="418"/>
      <c r="Y394" s="445"/>
      <c r="Z394" s="420"/>
      <c r="AA394" s="421">
        <v>185.62</v>
      </c>
      <c r="AB394" s="421"/>
      <c r="AC394" s="454">
        <v>23</v>
      </c>
      <c r="AE394" s="419" t="s">
        <v>2287</v>
      </c>
      <c r="AF394" s="454">
        <v>1</v>
      </c>
      <c r="AG394" s="441">
        <v>43101</v>
      </c>
      <c r="AJ394" s="442">
        <v>43252</v>
      </c>
      <c r="AL394" s="424" t="s">
        <v>1006</v>
      </c>
      <c r="AO394" s="445"/>
      <c r="AP394" s="454">
        <v>556639</v>
      </c>
      <c r="AQ394" s="443">
        <v>43102</v>
      </c>
      <c r="AR394" s="370">
        <v>0.3</v>
      </c>
      <c r="AT394" s="426"/>
      <c r="AU394" s="426"/>
      <c r="AV394" s="426"/>
      <c r="AY394" s="427" t="s">
        <v>1559</v>
      </c>
      <c r="AZ394" s="373"/>
      <c r="BB394" s="374" t="s">
        <v>2214</v>
      </c>
      <c r="BC394" s="445"/>
      <c r="BE394" s="448"/>
      <c r="BF394" s="449"/>
      <c r="BG394" s="428"/>
      <c r="BH394" s="445"/>
      <c r="BI394" s="491"/>
      <c r="BJ394" s="491">
        <v>32</v>
      </c>
      <c r="BK394" s="445" t="s">
        <v>3085</v>
      </c>
      <c r="BL394" s="419" t="s">
        <v>3086</v>
      </c>
      <c r="BM394" s="445"/>
      <c r="BN394" s="419"/>
      <c r="BO394" s="419"/>
      <c r="BP394" s="419"/>
      <c r="BQ394" s="419" t="s">
        <v>1783</v>
      </c>
      <c r="BR394" s="419">
        <v>2</v>
      </c>
      <c r="BS394" s="419"/>
      <c r="BT394" s="445"/>
      <c r="BU394" s="445"/>
      <c r="BV394" s="445"/>
      <c r="BW394" s="445" t="s">
        <v>2282</v>
      </c>
      <c r="BX394" s="445"/>
      <c r="BY394" s="445"/>
    </row>
    <row r="395" spans="1:77" ht="15">
      <c r="A395" s="370" t="s">
        <v>1783</v>
      </c>
      <c r="B395" s="415" t="s">
        <v>19</v>
      </c>
      <c r="C395" s="416" t="s">
        <v>2131</v>
      </c>
      <c r="D395" s="444">
        <v>0</v>
      </c>
      <c r="E395" s="415" t="s">
        <v>1716</v>
      </c>
      <c r="F395" s="444">
        <v>3</v>
      </c>
      <c r="G395" s="415" t="s">
        <v>1750</v>
      </c>
      <c r="H395" s="444">
        <v>125</v>
      </c>
      <c r="I395" s="417" t="s">
        <v>2084</v>
      </c>
      <c r="J395" s="444">
        <v>1.4</v>
      </c>
      <c r="K395" s="444">
        <v>0</v>
      </c>
      <c r="L395" s="444"/>
      <c r="M395" s="444">
        <v>0</v>
      </c>
      <c r="N395" s="444">
        <v>40</v>
      </c>
      <c r="O395" s="444"/>
      <c r="P395" s="444"/>
      <c r="Q395" s="444">
        <v>0</v>
      </c>
      <c r="R395" s="444"/>
      <c r="S395" s="444">
        <v>0</v>
      </c>
      <c r="T395" s="444">
        <v>0</v>
      </c>
      <c r="U395" s="444"/>
      <c r="V395" s="444">
        <v>0</v>
      </c>
      <c r="W395" s="444">
        <v>0</v>
      </c>
      <c r="X395" s="418"/>
      <c r="Y395" s="445"/>
      <c r="Z395" s="420"/>
      <c r="AA395" s="421">
        <v>261.75</v>
      </c>
      <c r="AB395" s="421"/>
      <c r="AC395" s="454">
        <v>23</v>
      </c>
      <c r="AE395" s="419" t="s">
        <v>2288</v>
      </c>
      <c r="AF395" s="454">
        <v>1</v>
      </c>
      <c r="AG395" s="441">
        <v>43101</v>
      </c>
      <c r="AJ395" s="442">
        <v>43252</v>
      </c>
      <c r="AL395" s="424" t="s">
        <v>1001</v>
      </c>
      <c r="AO395" s="445"/>
      <c r="AP395" s="454">
        <v>556670</v>
      </c>
      <c r="AQ395" s="443">
        <v>43201</v>
      </c>
      <c r="AR395" s="370">
        <v>0.3</v>
      </c>
      <c r="AT395" s="426"/>
      <c r="AU395" s="426"/>
      <c r="AV395" s="426"/>
      <c r="AY395" s="427" t="s">
        <v>1559</v>
      </c>
      <c r="AZ395" s="373"/>
      <c r="BB395" s="374" t="s">
        <v>2214</v>
      </c>
      <c r="BC395" s="445"/>
      <c r="BE395" s="448"/>
      <c r="BF395" s="449"/>
      <c r="BG395" s="428"/>
      <c r="BH395" s="445"/>
      <c r="BI395" s="491"/>
      <c r="BJ395" s="491">
        <v>33</v>
      </c>
      <c r="BK395" s="445" t="s">
        <v>3087</v>
      </c>
      <c r="BL395" s="419" t="s">
        <v>3088</v>
      </c>
      <c r="BM395" s="445"/>
      <c r="BN395" s="419"/>
      <c r="BO395" s="419"/>
      <c r="BP395" s="419"/>
      <c r="BQ395" s="419" t="s">
        <v>1783</v>
      </c>
      <c r="BR395" s="419">
        <v>2</v>
      </c>
      <c r="BS395" s="419"/>
      <c r="BT395" s="445"/>
      <c r="BU395" s="445"/>
      <c r="BV395" s="445"/>
      <c r="BW395" s="445" t="s">
        <v>2282</v>
      </c>
      <c r="BX395" s="445"/>
      <c r="BY395" s="445"/>
    </row>
    <row r="396" spans="1:77" ht="15">
      <c r="A396" s="370" t="s">
        <v>1783</v>
      </c>
      <c r="B396" s="415" t="s">
        <v>19</v>
      </c>
      <c r="C396" s="416" t="s">
        <v>2081</v>
      </c>
      <c r="D396" s="444">
        <v>0</v>
      </c>
      <c r="E396" s="415" t="s">
        <v>1716</v>
      </c>
      <c r="F396" s="444">
        <v>3</v>
      </c>
      <c r="G396" s="415" t="s">
        <v>1750</v>
      </c>
      <c r="H396" s="444">
        <v>105</v>
      </c>
      <c r="I396" s="417" t="s">
        <v>1687</v>
      </c>
      <c r="J396" s="444">
        <v>3.6</v>
      </c>
      <c r="K396" s="444">
        <v>0</v>
      </c>
      <c r="L396" s="444"/>
      <c r="M396" s="444">
        <v>0</v>
      </c>
      <c r="N396" s="444">
        <v>320</v>
      </c>
      <c r="O396" s="444"/>
      <c r="P396" s="444"/>
      <c r="Q396" s="444">
        <v>0</v>
      </c>
      <c r="R396" s="444"/>
      <c r="S396" s="444">
        <v>0</v>
      </c>
      <c r="T396" s="444">
        <v>0</v>
      </c>
      <c r="U396" s="444"/>
      <c r="V396" s="444">
        <v>0</v>
      </c>
      <c r="W396" s="444">
        <v>0</v>
      </c>
      <c r="X396" s="418"/>
      <c r="Y396" s="445"/>
      <c r="Z396" s="420"/>
      <c r="AA396" s="421">
        <v>204.23</v>
      </c>
      <c r="AB396" s="421"/>
      <c r="AC396" s="454">
        <v>23</v>
      </c>
      <c r="AE396" s="419" t="s">
        <v>2289</v>
      </c>
      <c r="AF396" s="454">
        <v>1</v>
      </c>
      <c r="AG396" s="441">
        <v>43101</v>
      </c>
      <c r="AJ396" s="442">
        <v>43252</v>
      </c>
      <c r="AL396" s="424" t="s">
        <v>917</v>
      </c>
      <c r="AO396" s="445"/>
      <c r="AP396" s="454">
        <v>556671</v>
      </c>
      <c r="AQ396" s="443">
        <v>43201</v>
      </c>
      <c r="AR396" s="370">
        <v>0.3</v>
      </c>
      <c r="AT396" s="426"/>
      <c r="AU396" s="426"/>
      <c r="AV396" s="426"/>
      <c r="AY396" s="427" t="s">
        <v>1559</v>
      </c>
      <c r="AZ396" s="373"/>
      <c r="BB396" s="374" t="s">
        <v>2214</v>
      </c>
      <c r="BC396" s="445"/>
      <c r="BE396" s="448"/>
      <c r="BF396" s="449"/>
      <c r="BG396" s="428"/>
      <c r="BH396" s="445"/>
      <c r="BI396" s="491"/>
      <c r="BJ396" s="491">
        <v>34</v>
      </c>
      <c r="BK396" s="445" t="s">
        <v>2906</v>
      </c>
      <c r="BL396" s="419" t="s">
        <v>2907</v>
      </c>
      <c r="BM396" s="445"/>
      <c r="BN396" s="419"/>
      <c r="BO396" s="419"/>
      <c r="BP396" s="419"/>
      <c r="BQ396" s="419" t="s">
        <v>1783</v>
      </c>
      <c r="BR396" s="419">
        <v>2</v>
      </c>
      <c r="BS396" s="419"/>
      <c r="BT396" s="445"/>
      <c r="BU396" s="445"/>
      <c r="BV396" s="445"/>
      <c r="BW396" s="445" t="s">
        <v>2282</v>
      </c>
      <c r="BX396" s="445"/>
      <c r="BY396" s="445"/>
    </row>
    <row r="397" spans="1:77" ht="15">
      <c r="A397" s="370" t="s">
        <v>1783</v>
      </c>
      <c r="B397" s="415" t="s">
        <v>132</v>
      </c>
      <c r="C397" s="416" t="s">
        <v>1784</v>
      </c>
      <c r="D397" s="444">
        <v>0</v>
      </c>
      <c r="E397" s="415" t="s">
        <v>1716</v>
      </c>
      <c r="F397" s="444">
        <v>3</v>
      </c>
      <c r="G397" s="415" t="s">
        <v>1750</v>
      </c>
      <c r="H397" s="444">
        <v>39</v>
      </c>
      <c r="I397" s="417" t="s">
        <v>1688</v>
      </c>
      <c r="J397" s="444">
        <v>5.6</v>
      </c>
      <c r="K397" s="444">
        <v>0</v>
      </c>
      <c r="L397" s="444"/>
      <c r="M397" s="444">
        <v>0</v>
      </c>
      <c r="N397" s="444">
        <v>0</v>
      </c>
      <c r="O397" s="444"/>
      <c r="P397" s="444"/>
      <c r="Q397" s="444">
        <v>441.67</v>
      </c>
      <c r="R397" s="444"/>
      <c r="S397" s="444">
        <v>0</v>
      </c>
      <c r="T397" s="444">
        <v>280</v>
      </c>
      <c r="U397" s="444"/>
      <c r="V397" s="444">
        <v>0</v>
      </c>
      <c r="W397" s="444">
        <v>0</v>
      </c>
      <c r="X397" s="418"/>
      <c r="Y397" s="445"/>
      <c r="Z397" s="420"/>
      <c r="AA397" s="421">
        <v>134.18</v>
      </c>
      <c r="AB397" s="421"/>
      <c r="AC397" s="454">
        <v>23</v>
      </c>
      <c r="AE397" s="419" t="s">
        <v>2290</v>
      </c>
      <c r="AF397" s="454">
        <v>1</v>
      </c>
      <c r="AG397" s="441">
        <v>43101</v>
      </c>
      <c r="AJ397" s="442">
        <v>43252</v>
      </c>
      <c r="AL397" s="424" t="s">
        <v>924</v>
      </c>
      <c r="AO397" s="445"/>
      <c r="AP397" s="454">
        <v>556633</v>
      </c>
      <c r="AQ397" s="443">
        <v>43102</v>
      </c>
      <c r="AR397" s="370">
        <v>0.5</v>
      </c>
      <c r="AT397" s="426"/>
      <c r="AU397" s="426"/>
      <c r="AV397" s="426"/>
      <c r="AY397" s="427" t="s">
        <v>1559</v>
      </c>
      <c r="AZ397" s="373"/>
      <c r="BB397" s="374" t="s">
        <v>2214</v>
      </c>
      <c r="BC397" s="445"/>
      <c r="BE397" s="448"/>
      <c r="BF397" s="449"/>
      <c r="BG397" s="428"/>
      <c r="BH397" s="445"/>
      <c r="BI397" s="491"/>
      <c r="BJ397" s="491">
        <v>32</v>
      </c>
      <c r="BK397" s="445" t="s">
        <v>2934</v>
      </c>
      <c r="BL397" s="419" t="s">
        <v>2935</v>
      </c>
      <c r="BM397" s="445"/>
      <c r="BN397" s="419"/>
      <c r="BO397" s="419"/>
      <c r="BP397" s="419"/>
      <c r="BQ397" s="419" t="s">
        <v>1783</v>
      </c>
      <c r="BR397" s="419">
        <v>5</v>
      </c>
      <c r="BS397" s="419"/>
      <c r="BT397" s="445"/>
      <c r="BU397" s="445"/>
      <c r="BV397" s="445"/>
      <c r="BW397" s="445" t="s">
        <v>2282</v>
      </c>
      <c r="BX397" s="445"/>
      <c r="BY397" s="445"/>
    </row>
    <row r="398" spans="1:77" ht="15">
      <c r="A398" s="370" t="s">
        <v>1783</v>
      </c>
      <c r="B398" s="415" t="s">
        <v>132</v>
      </c>
      <c r="C398" s="416" t="s">
        <v>1784</v>
      </c>
      <c r="D398" s="444">
        <v>0</v>
      </c>
      <c r="E398" s="415" t="s">
        <v>1716</v>
      </c>
      <c r="F398" s="444">
        <v>3</v>
      </c>
      <c r="G398" s="415" t="s">
        <v>1750</v>
      </c>
      <c r="H398" s="444">
        <v>38</v>
      </c>
      <c r="I398" s="417" t="s">
        <v>1632</v>
      </c>
      <c r="J398" s="444">
        <v>4.0999999999999996</v>
      </c>
      <c r="K398" s="444">
        <v>0</v>
      </c>
      <c r="L398" s="444"/>
      <c r="M398" s="444">
        <v>0</v>
      </c>
      <c r="N398" s="444">
        <v>0</v>
      </c>
      <c r="O398" s="444"/>
      <c r="P398" s="444"/>
      <c r="Q398" s="444">
        <v>391.67</v>
      </c>
      <c r="R398" s="444"/>
      <c r="S398" s="444">
        <v>0</v>
      </c>
      <c r="T398" s="444">
        <v>0</v>
      </c>
      <c r="U398" s="444"/>
      <c r="V398" s="444">
        <v>0</v>
      </c>
      <c r="W398" s="444">
        <v>0</v>
      </c>
      <c r="X398" s="418"/>
      <c r="Y398" s="445"/>
      <c r="Z398" s="420"/>
      <c r="AA398" s="421">
        <v>198.52</v>
      </c>
      <c r="AB398" s="421"/>
      <c r="AC398" s="454">
        <v>23</v>
      </c>
      <c r="AE398" s="419" t="s">
        <v>2291</v>
      </c>
      <c r="AF398" s="454">
        <v>1</v>
      </c>
      <c r="AG398" s="441">
        <v>43101</v>
      </c>
      <c r="AJ398" s="442">
        <v>43252</v>
      </c>
      <c r="AL398" s="424" t="s">
        <v>924</v>
      </c>
      <c r="AO398" s="445"/>
      <c r="AP398" s="454">
        <v>556665</v>
      </c>
      <c r="AQ398" s="443">
        <v>43192</v>
      </c>
      <c r="AR398" s="370">
        <v>0.5</v>
      </c>
      <c r="AT398" s="426"/>
      <c r="AU398" s="426"/>
      <c r="AV398" s="426"/>
      <c r="AY398" s="427" t="s">
        <v>1559</v>
      </c>
      <c r="AZ398" s="373"/>
      <c r="BB398" s="374" t="s">
        <v>2214</v>
      </c>
      <c r="BC398" s="445"/>
      <c r="BE398" s="448"/>
      <c r="BF398" s="449"/>
      <c r="BG398" s="428"/>
      <c r="BH398" s="445"/>
      <c r="BI398" s="491"/>
      <c r="BJ398" s="491">
        <v>33</v>
      </c>
      <c r="BK398" s="445" t="s">
        <v>1823</v>
      </c>
      <c r="BL398" s="419" t="s">
        <v>3089</v>
      </c>
      <c r="BM398" s="445"/>
      <c r="BN398" s="419"/>
      <c r="BO398" s="419"/>
      <c r="BP398" s="419"/>
      <c r="BQ398" s="419" t="s">
        <v>1783</v>
      </c>
      <c r="BR398" s="419">
        <v>5</v>
      </c>
      <c r="BS398" s="419"/>
      <c r="BT398" s="445"/>
      <c r="BU398" s="445"/>
      <c r="BV398" s="445"/>
      <c r="BW398" s="445" t="s">
        <v>2282</v>
      </c>
      <c r="BX398" s="445"/>
      <c r="BY398" s="445"/>
    </row>
    <row r="399" spans="1:77" ht="15">
      <c r="A399" s="370" t="s">
        <v>1269</v>
      </c>
      <c r="B399" s="415" t="s">
        <v>132</v>
      </c>
      <c r="C399" s="416" t="s">
        <v>2131</v>
      </c>
      <c r="D399" s="444">
        <v>0</v>
      </c>
      <c r="E399" s="415" t="s">
        <v>1718</v>
      </c>
      <c r="F399" s="444">
        <v>3</v>
      </c>
      <c r="G399" s="415" t="s">
        <v>1750</v>
      </c>
      <c r="H399" s="444">
        <v>86</v>
      </c>
      <c r="I399" s="417" t="s">
        <v>1422</v>
      </c>
      <c r="J399" s="444">
        <v>10</v>
      </c>
      <c r="K399" s="444">
        <v>902</v>
      </c>
      <c r="L399" s="444"/>
      <c r="M399" s="444"/>
      <c r="N399" s="444"/>
      <c r="O399" s="444"/>
      <c r="P399" s="444"/>
      <c r="Q399" s="444"/>
      <c r="R399" s="444"/>
      <c r="S399" s="444"/>
      <c r="T399" s="444">
        <v>159</v>
      </c>
      <c r="U399" s="444"/>
      <c r="V399" s="444"/>
      <c r="W399" s="444">
        <v>0</v>
      </c>
      <c r="X399" s="418"/>
      <c r="Y399" s="445"/>
      <c r="Z399" s="420"/>
      <c r="AA399" s="421">
        <v>118.331</v>
      </c>
      <c r="AB399" s="421"/>
      <c r="AC399" s="454">
        <v>27</v>
      </c>
      <c r="AE399" s="419" t="s">
        <v>2292</v>
      </c>
      <c r="AF399" s="454">
        <v>1</v>
      </c>
      <c r="AG399" s="441">
        <v>43101</v>
      </c>
      <c r="AJ399" s="442">
        <v>43252</v>
      </c>
      <c r="AL399" s="424" t="s">
        <v>924</v>
      </c>
      <c r="AO399" s="445"/>
      <c r="AP399" s="454">
        <v>556706</v>
      </c>
      <c r="AQ399" s="443">
        <v>43243</v>
      </c>
      <c r="AT399" s="426"/>
      <c r="AU399" s="426"/>
      <c r="AV399" s="426"/>
      <c r="AY399" s="427" t="s">
        <v>1559</v>
      </c>
      <c r="AZ399" s="373"/>
      <c r="BB399" s="374" t="s">
        <v>2214</v>
      </c>
      <c r="BC399" s="445"/>
      <c r="BE399" s="448"/>
      <c r="BF399" s="449"/>
      <c r="BG399" s="428"/>
      <c r="BH399" s="445"/>
      <c r="BI399" s="491"/>
      <c r="BJ399" s="491">
        <v>29</v>
      </c>
      <c r="BK399" s="445" t="s">
        <v>3090</v>
      </c>
      <c r="BL399" s="419" t="s">
        <v>3091</v>
      </c>
      <c r="BM399" s="445"/>
      <c r="BN399" s="419"/>
      <c r="BO399" s="419"/>
      <c r="BP399" s="419"/>
      <c r="BQ399" s="419" t="s">
        <v>1269</v>
      </c>
      <c r="BR399" s="419"/>
      <c r="BS399" s="419"/>
      <c r="BT399" s="445"/>
      <c r="BU399" s="445"/>
      <c r="BV399" s="445"/>
      <c r="BW399" s="445" t="s">
        <v>2282</v>
      </c>
      <c r="BX399" s="445"/>
      <c r="BY399" s="445"/>
    </row>
    <row r="400" spans="1:77" ht="15">
      <c r="A400" s="370" t="s">
        <v>1269</v>
      </c>
      <c r="B400" s="415" t="s">
        <v>132</v>
      </c>
      <c r="C400" s="416" t="s">
        <v>2131</v>
      </c>
      <c r="D400" s="444">
        <v>0</v>
      </c>
      <c r="E400" s="415" t="s">
        <v>1718</v>
      </c>
      <c r="F400" s="444">
        <v>3</v>
      </c>
      <c r="G400" s="415" t="s">
        <v>1750</v>
      </c>
      <c r="H400" s="444">
        <v>91</v>
      </c>
      <c r="I400" s="417" t="s">
        <v>1684</v>
      </c>
      <c r="J400" s="444">
        <v>13.5</v>
      </c>
      <c r="K400" s="444">
        <v>902</v>
      </c>
      <c r="L400" s="444"/>
      <c r="M400" s="444"/>
      <c r="N400" s="444"/>
      <c r="O400" s="444"/>
      <c r="P400" s="444"/>
      <c r="Q400" s="444"/>
      <c r="R400" s="444"/>
      <c r="S400" s="444"/>
      <c r="T400" s="444">
        <v>62</v>
      </c>
      <c r="U400" s="444"/>
      <c r="V400" s="444"/>
      <c r="W400" s="444">
        <v>0</v>
      </c>
      <c r="X400" s="418"/>
      <c r="Y400" s="445"/>
      <c r="Z400" s="420"/>
      <c r="AA400" s="421">
        <v>238.31899999999999</v>
      </c>
      <c r="AB400" s="421"/>
      <c r="AC400" s="454">
        <v>9</v>
      </c>
      <c r="AE400" s="419" t="s">
        <v>2293</v>
      </c>
      <c r="AF400" s="454">
        <v>1</v>
      </c>
      <c r="AG400" s="441">
        <v>43101</v>
      </c>
      <c r="AJ400" s="442">
        <v>43252</v>
      </c>
      <c r="AL400" s="424" t="s">
        <v>919</v>
      </c>
      <c r="AO400" s="445"/>
      <c r="AP400" s="454">
        <v>556706</v>
      </c>
      <c r="AQ400" s="443">
        <v>43243</v>
      </c>
      <c r="AT400" s="426"/>
      <c r="AU400" s="426"/>
      <c r="AV400" s="426"/>
      <c r="AY400" s="427" t="s">
        <v>1559</v>
      </c>
      <c r="AZ400" s="373"/>
      <c r="BB400" s="374" t="s">
        <v>2214</v>
      </c>
      <c r="BC400" s="445"/>
      <c r="BE400" s="448"/>
      <c r="BF400" s="449"/>
      <c r="BG400" s="428"/>
      <c r="BH400" s="445"/>
      <c r="BI400" s="491"/>
      <c r="BJ400" s="491">
        <v>31</v>
      </c>
      <c r="BK400" s="445" t="s">
        <v>3092</v>
      </c>
      <c r="BL400" s="419" t="s">
        <v>3093</v>
      </c>
      <c r="BM400" s="445"/>
      <c r="BN400" s="419"/>
      <c r="BO400" s="419"/>
      <c r="BP400" s="419"/>
      <c r="BQ400" s="419" t="s">
        <v>1269</v>
      </c>
      <c r="BR400" s="419"/>
      <c r="BS400" s="419"/>
      <c r="BT400" s="445"/>
      <c r="BU400" s="445"/>
      <c r="BV400" s="445"/>
      <c r="BW400" s="445" t="s">
        <v>2282</v>
      </c>
      <c r="BX400" s="445"/>
      <c r="BY400" s="445"/>
    </row>
    <row r="401" spans="1:77" ht="15">
      <c r="A401" s="370" t="s">
        <v>1783</v>
      </c>
      <c r="B401" s="415" t="s">
        <v>296</v>
      </c>
      <c r="C401" s="416" t="s">
        <v>1693</v>
      </c>
      <c r="D401" s="444">
        <v>0</v>
      </c>
      <c r="E401" s="415" t="s">
        <v>1716</v>
      </c>
      <c r="F401" s="444">
        <v>3</v>
      </c>
      <c r="G401" s="415" t="s">
        <v>1750</v>
      </c>
      <c r="H401" s="444">
        <v>113</v>
      </c>
      <c r="I401" s="417" t="s">
        <v>1770</v>
      </c>
      <c r="J401" s="444">
        <v>2.2999999999999998</v>
      </c>
      <c r="K401" s="444">
        <v>0</v>
      </c>
      <c r="L401" s="444"/>
      <c r="M401" s="444">
        <v>0</v>
      </c>
      <c r="N401" s="444">
        <v>0</v>
      </c>
      <c r="O401" s="444"/>
      <c r="P401" s="444"/>
      <c r="Q401" s="444">
        <v>0</v>
      </c>
      <c r="R401" s="444"/>
      <c r="S401" s="444">
        <v>0</v>
      </c>
      <c r="T401" s="444">
        <v>85</v>
      </c>
      <c r="U401" s="444"/>
      <c r="V401" s="444">
        <v>0</v>
      </c>
      <c r="W401" s="444">
        <v>0</v>
      </c>
      <c r="X401" s="418"/>
      <c r="Y401" s="445"/>
      <c r="Z401" s="420"/>
      <c r="AA401" s="421">
        <v>152.76</v>
      </c>
      <c r="AB401" s="421"/>
      <c r="AC401" s="454">
        <v>23</v>
      </c>
      <c r="AE401" s="419" t="s">
        <v>2294</v>
      </c>
      <c r="AF401" s="454">
        <v>1</v>
      </c>
      <c r="AG401" s="441">
        <v>43101</v>
      </c>
      <c r="AJ401" s="442">
        <v>43252</v>
      </c>
      <c r="AL401" s="424" t="s">
        <v>1689</v>
      </c>
      <c r="AO401" s="445"/>
      <c r="AP401" s="454">
        <v>556633</v>
      </c>
      <c r="AQ401" s="443">
        <v>43102</v>
      </c>
      <c r="AR401" s="370">
        <v>0.5</v>
      </c>
      <c r="AT401" s="426"/>
      <c r="AU401" s="426"/>
      <c r="AV401" s="426"/>
      <c r="AY401" s="427" t="s">
        <v>1722</v>
      </c>
      <c r="AZ401" s="373"/>
      <c r="BB401" s="374" t="s">
        <v>1728</v>
      </c>
      <c r="BC401" s="445"/>
      <c r="BE401" s="448"/>
      <c r="BF401" s="449"/>
      <c r="BG401" s="428"/>
      <c r="BH401" s="445"/>
      <c r="BI401" s="491"/>
      <c r="BJ401" s="491">
        <v>3</v>
      </c>
      <c r="BK401" s="445" t="s">
        <v>3094</v>
      </c>
      <c r="BL401" s="419" t="s">
        <v>3095</v>
      </c>
      <c r="BM401" s="445"/>
      <c r="BN401" s="419"/>
      <c r="BO401" s="419"/>
      <c r="BP401" s="419"/>
      <c r="BQ401" s="419" t="s">
        <v>1783</v>
      </c>
      <c r="BR401" s="419">
        <v>5</v>
      </c>
      <c r="BS401" s="419"/>
      <c r="BT401" s="445"/>
      <c r="BU401" s="445"/>
      <c r="BV401" s="445"/>
      <c r="BW401" s="445" t="s">
        <v>2282</v>
      </c>
      <c r="BX401" s="445"/>
      <c r="BY401" s="445"/>
    </row>
    <row r="402" spans="1:77" ht="15">
      <c r="A402" s="370" t="s">
        <v>1269</v>
      </c>
      <c r="B402" s="415" t="s">
        <v>296</v>
      </c>
      <c r="C402" s="416" t="s">
        <v>1693</v>
      </c>
      <c r="D402" s="444">
        <v>0</v>
      </c>
      <c r="E402" s="415" t="s">
        <v>1716</v>
      </c>
      <c r="F402" s="444">
        <v>3</v>
      </c>
      <c r="G402" s="415" t="s">
        <v>1750</v>
      </c>
      <c r="H402" s="444">
        <v>113</v>
      </c>
      <c r="I402" s="417" t="s">
        <v>1770</v>
      </c>
      <c r="J402" s="444">
        <v>2.2999999999999998</v>
      </c>
      <c r="K402" s="444">
        <v>262</v>
      </c>
      <c r="L402" s="444"/>
      <c r="M402" s="444">
        <v>0</v>
      </c>
      <c r="N402" s="444">
        <v>0</v>
      </c>
      <c r="O402" s="444"/>
      <c r="P402" s="444"/>
      <c r="Q402" s="444">
        <v>0</v>
      </c>
      <c r="R402" s="444"/>
      <c r="S402" s="444">
        <v>0</v>
      </c>
      <c r="T402" s="444">
        <v>0</v>
      </c>
      <c r="U402" s="444"/>
      <c r="V402" s="444">
        <v>0</v>
      </c>
      <c r="W402" s="444">
        <v>20</v>
      </c>
      <c r="X402" s="418"/>
      <c r="Y402" s="445"/>
      <c r="Z402" s="420"/>
      <c r="AA402" s="421">
        <v>180.053</v>
      </c>
      <c r="AB402" s="421"/>
      <c r="AC402" s="454">
        <v>18</v>
      </c>
      <c r="AE402" s="419" t="s">
        <v>2295</v>
      </c>
      <c r="AF402" s="454">
        <v>1</v>
      </c>
      <c r="AG402" s="441">
        <v>43101</v>
      </c>
      <c r="AJ402" s="442">
        <v>43252</v>
      </c>
      <c r="AL402" s="424" t="s">
        <v>1689</v>
      </c>
      <c r="AO402" s="445"/>
      <c r="AP402" s="454">
        <v>556628</v>
      </c>
      <c r="AQ402" s="443">
        <v>43102</v>
      </c>
      <c r="AR402" s="370">
        <v>0.5</v>
      </c>
      <c r="AT402" s="426"/>
      <c r="AU402" s="426"/>
      <c r="AV402" s="426"/>
      <c r="AY402" s="427" t="s">
        <v>1722</v>
      </c>
      <c r="AZ402" s="373"/>
      <c r="BB402" s="374" t="s">
        <v>1728</v>
      </c>
      <c r="BC402" s="445"/>
      <c r="BE402" s="448"/>
      <c r="BF402" s="449"/>
      <c r="BG402" s="428"/>
      <c r="BH402" s="445"/>
      <c r="BI402" s="491"/>
      <c r="BJ402" s="491">
        <v>1</v>
      </c>
      <c r="BK402" s="445" t="s">
        <v>3094</v>
      </c>
      <c r="BL402" s="419" t="s">
        <v>3096</v>
      </c>
      <c r="BM402" s="445"/>
      <c r="BN402" s="419"/>
      <c r="BO402" s="419"/>
      <c r="BP402" s="419"/>
      <c r="BQ402" s="419" t="s">
        <v>1269</v>
      </c>
      <c r="BR402" s="419">
        <v>5</v>
      </c>
      <c r="BS402" s="419"/>
      <c r="BT402" s="445"/>
      <c r="BU402" s="445"/>
      <c r="BV402" s="445"/>
      <c r="BW402" s="445" t="s">
        <v>2282</v>
      </c>
      <c r="BX402" s="445"/>
      <c r="BY402" s="445"/>
    </row>
    <row r="403" spans="1:77" ht="15">
      <c r="A403" s="370" t="s">
        <v>1269</v>
      </c>
      <c r="B403" s="415" t="s">
        <v>296</v>
      </c>
      <c r="C403" s="416" t="s">
        <v>1619</v>
      </c>
      <c r="D403" s="444">
        <v>0</v>
      </c>
      <c r="E403" s="415" t="s">
        <v>1716</v>
      </c>
      <c r="F403" s="444">
        <v>3</v>
      </c>
      <c r="G403" s="415" t="s">
        <v>1750</v>
      </c>
      <c r="H403" s="444">
        <v>68</v>
      </c>
      <c r="I403" s="417" t="s">
        <v>1688</v>
      </c>
      <c r="J403" s="444">
        <v>1.7</v>
      </c>
      <c r="K403" s="444">
        <v>145</v>
      </c>
      <c r="L403" s="444"/>
      <c r="M403" s="444">
        <v>0</v>
      </c>
      <c r="N403" s="444">
        <v>3</v>
      </c>
      <c r="O403" s="444"/>
      <c r="P403" s="444"/>
      <c r="Q403" s="444">
        <v>0</v>
      </c>
      <c r="R403" s="444"/>
      <c r="S403" s="444">
        <v>0</v>
      </c>
      <c r="T403" s="444">
        <v>0</v>
      </c>
      <c r="U403" s="444"/>
      <c r="V403" s="444">
        <v>0</v>
      </c>
      <c r="W403" s="444">
        <v>79</v>
      </c>
      <c r="X403" s="418"/>
      <c r="Y403" s="445"/>
      <c r="Z403" s="420"/>
      <c r="AA403" s="421">
        <v>75.64</v>
      </c>
      <c r="AB403" s="421"/>
      <c r="AC403" s="454">
        <v>6</v>
      </c>
      <c r="AE403" s="419" t="s">
        <v>2296</v>
      </c>
      <c r="AF403" s="454">
        <v>1</v>
      </c>
      <c r="AG403" s="441">
        <v>43101</v>
      </c>
      <c r="AJ403" s="442">
        <v>43252</v>
      </c>
      <c r="AL403" s="424" t="s">
        <v>918</v>
      </c>
      <c r="AO403" s="445"/>
      <c r="AP403" s="454">
        <v>556629</v>
      </c>
      <c r="AQ403" s="443">
        <v>43102</v>
      </c>
      <c r="AR403" s="370">
        <v>0.5</v>
      </c>
      <c r="AT403" s="426"/>
      <c r="AU403" s="426"/>
      <c r="AV403" s="426"/>
      <c r="AY403" s="427" t="s">
        <v>1722</v>
      </c>
      <c r="AZ403" s="373"/>
      <c r="BB403" s="374" t="s">
        <v>1728</v>
      </c>
      <c r="BC403" s="445"/>
      <c r="BE403" s="448"/>
      <c r="BF403" s="449"/>
      <c r="BG403" s="428"/>
      <c r="BH403" s="445"/>
      <c r="BI403" s="491"/>
      <c r="BJ403" s="491">
        <v>2</v>
      </c>
      <c r="BK403" s="445" t="s">
        <v>3097</v>
      </c>
      <c r="BL403" s="419" t="s">
        <v>3098</v>
      </c>
      <c r="BM403" s="445"/>
      <c r="BN403" s="419"/>
      <c r="BO403" s="419"/>
      <c r="BP403" s="419"/>
      <c r="BQ403" s="419" t="s">
        <v>1269</v>
      </c>
      <c r="BR403" s="419">
        <v>5</v>
      </c>
      <c r="BS403" s="419"/>
      <c r="BT403" s="445"/>
      <c r="BU403" s="445"/>
      <c r="BV403" s="445"/>
      <c r="BW403" s="445" t="s">
        <v>2282</v>
      </c>
      <c r="BX403" s="445"/>
      <c r="BY403" s="445"/>
    </row>
    <row r="404" spans="1:77" ht="15">
      <c r="A404" s="370" t="s">
        <v>1269</v>
      </c>
      <c r="B404" s="415" t="s">
        <v>296</v>
      </c>
      <c r="C404" s="416" t="s">
        <v>1682</v>
      </c>
      <c r="D404" s="444">
        <v>0</v>
      </c>
      <c r="E404" s="415" t="s">
        <v>1716</v>
      </c>
      <c r="F404" s="444">
        <v>3</v>
      </c>
      <c r="G404" s="415" t="s">
        <v>1750</v>
      </c>
      <c r="H404" s="444">
        <v>15</v>
      </c>
      <c r="I404" s="417" t="s">
        <v>1632</v>
      </c>
      <c r="J404" s="444">
        <v>5.0999999999999996</v>
      </c>
      <c r="K404" s="444">
        <v>168</v>
      </c>
      <c r="L404" s="444"/>
      <c r="M404" s="444">
        <v>0</v>
      </c>
      <c r="N404" s="444">
        <v>9</v>
      </c>
      <c r="O404" s="444"/>
      <c r="P404" s="444"/>
      <c r="Q404" s="444">
        <v>0</v>
      </c>
      <c r="R404" s="444"/>
      <c r="S404" s="444">
        <v>0</v>
      </c>
      <c r="T404" s="444">
        <v>0</v>
      </c>
      <c r="U404" s="444">
        <v>3</v>
      </c>
      <c r="V404" s="444">
        <v>3</v>
      </c>
      <c r="W404" s="444">
        <v>106</v>
      </c>
      <c r="X404" s="418"/>
      <c r="Y404" s="445"/>
      <c r="Z404" s="420"/>
      <c r="AA404" s="421">
        <v>71.116</v>
      </c>
      <c r="AB404" s="421"/>
      <c r="AC404" s="454">
        <v>8</v>
      </c>
      <c r="AE404" s="419" t="s">
        <v>2297</v>
      </c>
      <c r="AF404" s="454">
        <v>1</v>
      </c>
      <c r="AG404" s="441">
        <v>43101</v>
      </c>
      <c r="AJ404" s="442">
        <v>43277</v>
      </c>
      <c r="AL404" s="424" t="s">
        <v>1024</v>
      </c>
      <c r="AO404" s="445"/>
      <c r="AP404" s="454">
        <v>556711</v>
      </c>
      <c r="AQ404" s="443">
        <v>43272</v>
      </c>
      <c r="AR404" s="370">
        <v>0.5</v>
      </c>
      <c r="AT404" s="426"/>
      <c r="AU404" s="426"/>
      <c r="AV404" s="426"/>
      <c r="AY404" s="427" t="s">
        <v>1722</v>
      </c>
      <c r="AZ404" s="373"/>
      <c r="BB404" s="374" t="s">
        <v>1728</v>
      </c>
      <c r="BC404" s="445"/>
      <c r="BE404" s="448"/>
      <c r="BF404" s="449"/>
      <c r="BG404" s="428"/>
      <c r="BH404" s="445"/>
      <c r="BI404" s="491"/>
      <c r="BJ404" s="491">
        <v>4</v>
      </c>
      <c r="BK404" s="445" t="s">
        <v>3099</v>
      </c>
      <c r="BL404" s="419" t="s">
        <v>3100</v>
      </c>
      <c r="BM404" s="445"/>
      <c r="BN404" s="419"/>
      <c r="BO404" s="419"/>
      <c r="BP404" s="419"/>
      <c r="BQ404" s="419" t="s">
        <v>1269</v>
      </c>
      <c r="BR404" s="419">
        <v>5</v>
      </c>
      <c r="BS404" s="419"/>
      <c r="BT404" s="445"/>
      <c r="BU404" s="445"/>
      <c r="BV404" s="445"/>
      <c r="BW404" s="445" t="s">
        <v>2282</v>
      </c>
      <c r="BX404" s="445"/>
      <c r="BY404" s="445"/>
    </row>
    <row r="405" spans="1:77" ht="15">
      <c r="A405" s="370" t="s">
        <v>1269</v>
      </c>
      <c r="B405" s="415" t="s">
        <v>296</v>
      </c>
      <c r="C405" s="416" t="s">
        <v>1682</v>
      </c>
      <c r="D405" s="444">
        <v>0</v>
      </c>
      <c r="E405" s="415" t="s">
        <v>1716</v>
      </c>
      <c r="F405" s="444">
        <v>5</v>
      </c>
      <c r="G405" s="415" t="s">
        <v>1750</v>
      </c>
      <c r="H405" s="444">
        <v>53</v>
      </c>
      <c r="I405" s="417" t="s">
        <v>1425</v>
      </c>
      <c r="J405" s="444">
        <v>9.5</v>
      </c>
      <c r="K405" s="444">
        <v>325</v>
      </c>
      <c r="L405" s="444"/>
      <c r="M405" s="444">
        <v>0</v>
      </c>
      <c r="N405" s="444">
        <v>25</v>
      </c>
      <c r="O405" s="444"/>
      <c r="P405" s="444"/>
      <c r="Q405" s="444">
        <v>0</v>
      </c>
      <c r="R405" s="444">
        <v>32</v>
      </c>
      <c r="S405" s="444">
        <v>3</v>
      </c>
      <c r="T405" s="444">
        <v>213</v>
      </c>
      <c r="U405" s="444">
        <v>0</v>
      </c>
      <c r="V405" s="444">
        <v>0</v>
      </c>
      <c r="W405" s="444">
        <v>0</v>
      </c>
      <c r="X405" s="418"/>
      <c r="Y405" s="445"/>
      <c r="Z405" s="420"/>
      <c r="AA405" s="421">
        <v>85.132000000000005</v>
      </c>
      <c r="AB405" s="421"/>
      <c r="AC405" s="454">
        <v>23</v>
      </c>
      <c r="AE405" s="419" t="s">
        <v>2298</v>
      </c>
      <c r="AF405" s="454">
        <v>1</v>
      </c>
      <c r="AG405" s="441">
        <v>43101</v>
      </c>
      <c r="AJ405" s="442">
        <v>43277</v>
      </c>
      <c r="AL405" s="424" t="s">
        <v>918</v>
      </c>
      <c r="AO405" s="445"/>
      <c r="AP405" s="454">
        <v>556711</v>
      </c>
      <c r="AQ405" s="443">
        <v>43272</v>
      </c>
      <c r="AR405" s="370">
        <v>0.5</v>
      </c>
      <c r="AT405" s="426"/>
      <c r="AU405" s="426"/>
      <c r="AV405" s="426"/>
      <c r="AY405" s="427" t="s">
        <v>1722</v>
      </c>
      <c r="AZ405" s="373"/>
      <c r="BB405" s="374" t="s">
        <v>1728</v>
      </c>
      <c r="BC405" s="445"/>
      <c r="BE405" s="448"/>
      <c r="BF405" s="449"/>
      <c r="BG405" s="428"/>
      <c r="BH405" s="445"/>
      <c r="BI405" s="491"/>
      <c r="BJ405" s="491">
        <v>5</v>
      </c>
      <c r="BK405" s="445" t="s">
        <v>3101</v>
      </c>
      <c r="BL405" s="419" t="s">
        <v>3102</v>
      </c>
      <c r="BM405" s="445"/>
      <c r="BN405" s="419"/>
      <c r="BO405" s="419"/>
      <c r="BP405" s="419"/>
      <c r="BQ405" s="419" t="s">
        <v>1269</v>
      </c>
      <c r="BR405" s="419">
        <v>5</v>
      </c>
      <c r="BS405" s="419"/>
      <c r="BT405" s="445"/>
      <c r="BU405" s="445"/>
      <c r="BV405" s="445"/>
      <c r="BW405" s="445" t="s">
        <v>2282</v>
      </c>
      <c r="BX405" s="445"/>
      <c r="BY405" s="445"/>
    </row>
    <row r="406" spans="1:77" ht="15">
      <c r="A406" s="370" t="s">
        <v>1269</v>
      </c>
      <c r="B406" s="415" t="s">
        <v>296</v>
      </c>
      <c r="C406" s="416" t="s">
        <v>1682</v>
      </c>
      <c r="D406" s="444">
        <v>0</v>
      </c>
      <c r="E406" s="415" t="s">
        <v>1716</v>
      </c>
      <c r="F406" s="444">
        <v>5</v>
      </c>
      <c r="G406" s="415" t="s">
        <v>1750</v>
      </c>
      <c r="H406" s="444">
        <v>54</v>
      </c>
      <c r="I406" s="417" t="s">
        <v>1632</v>
      </c>
      <c r="J406" s="444">
        <v>11.7</v>
      </c>
      <c r="K406" s="444">
        <v>340</v>
      </c>
      <c r="L406" s="444"/>
      <c r="M406" s="444">
        <v>0</v>
      </c>
      <c r="N406" s="444">
        <v>28</v>
      </c>
      <c r="O406" s="444"/>
      <c r="P406" s="444"/>
      <c r="Q406" s="444">
        <v>0</v>
      </c>
      <c r="R406" s="444">
        <v>0</v>
      </c>
      <c r="S406" s="444">
        <v>0</v>
      </c>
      <c r="T406" s="444">
        <v>0</v>
      </c>
      <c r="U406" s="444">
        <v>48</v>
      </c>
      <c r="V406" s="444">
        <v>3</v>
      </c>
      <c r="W406" s="444">
        <v>263</v>
      </c>
      <c r="X406" s="418"/>
      <c r="Y406" s="445"/>
      <c r="Z406" s="420"/>
      <c r="AA406" s="421">
        <v>81.876999999999995</v>
      </c>
      <c r="AB406" s="421"/>
      <c r="AC406" s="454">
        <v>22</v>
      </c>
      <c r="AE406" s="419" t="s">
        <v>2299</v>
      </c>
      <c r="AF406" s="454">
        <v>1</v>
      </c>
      <c r="AG406" s="441">
        <v>43101</v>
      </c>
      <c r="AJ406" s="442">
        <v>43277</v>
      </c>
      <c r="AL406" s="424" t="s">
        <v>918</v>
      </c>
      <c r="AO406" s="445"/>
      <c r="AP406" s="454">
        <v>556711</v>
      </c>
      <c r="AQ406" s="443">
        <v>43272</v>
      </c>
      <c r="AR406" s="370">
        <v>0.5</v>
      </c>
      <c r="AT406" s="426"/>
      <c r="AU406" s="426"/>
      <c r="AV406" s="426"/>
      <c r="AY406" s="427" t="s">
        <v>1722</v>
      </c>
      <c r="AZ406" s="373"/>
      <c r="BB406" s="374" t="s">
        <v>1728</v>
      </c>
      <c r="BC406" s="445"/>
      <c r="BE406" s="448"/>
      <c r="BF406" s="449"/>
      <c r="BG406" s="428"/>
      <c r="BH406" s="445"/>
      <c r="BI406" s="491"/>
      <c r="BJ406" s="491">
        <v>6</v>
      </c>
      <c r="BK406" s="445" t="s">
        <v>3103</v>
      </c>
      <c r="BL406" s="419" t="s">
        <v>3104</v>
      </c>
      <c r="BM406" s="445"/>
      <c r="BN406" s="419"/>
      <c r="BO406" s="419"/>
      <c r="BP406" s="419"/>
      <c r="BQ406" s="419" t="s">
        <v>1269</v>
      </c>
      <c r="BR406" s="419">
        <v>5</v>
      </c>
      <c r="BS406" s="419"/>
      <c r="BT406" s="445"/>
      <c r="BU406" s="445"/>
      <c r="BV406" s="445"/>
      <c r="BW406" s="445" t="s">
        <v>2282</v>
      </c>
      <c r="BX406" s="445"/>
      <c r="BY406" s="445"/>
    </row>
    <row r="407" spans="1:77" ht="15">
      <c r="A407" s="370" t="s">
        <v>1269</v>
      </c>
      <c r="B407" s="415" t="s">
        <v>296</v>
      </c>
      <c r="C407" s="416" t="s">
        <v>1682</v>
      </c>
      <c r="D407" s="444">
        <v>0</v>
      </c>
      <c r="E407" s="415" t="s">
        <v>1716</v>
      </c>
      <c r="F407" s="444">
        <v>3</v>
      </c>
      <c r="G407" s="415" t="s">
        <v>1750</v>
      </c>
      <c r="H407" s="444">
        <v>124</v>
      </c>
      <c r="I407" s="417" t="s">
        <v>1422</v>
      </c>
      <c r="J407" s="444">
        <v>12</v>
      </c>
      <c r="K407" s="444">
        <v>901</v>
      </c>
      <c r="L407" s="444"/>
      <c r="M407" s="444">
        <v>0</v>
      </c>
      <c r="N407" s="444">
        <v>26</v>
      </c>
      <c r="O407" s="444"/>
      <c r="P407" s="444"/>
      <c r="Q407" s="444">
        <v>0</v>
      </c>
      <c r="R407" s="444">
        <v>0</v>
      </c>
      <c r="S407" s="444">
        <v>0</v>
      </c>
      <c r="T407" s="444">
        <v>0</v>
      </c>
      <c r="U407" s="444">
        <v>45</v>
      </c>
      <c r="V407" s="444">
        <v>5</v>
      </c>
      <c r="W407" s="444">
        <v>318</v>
      </c>
      <c r="X407" s="418"/>
      <c r="Y407" s="445"/>
      <c r="Z407" s="420"/>
      <c r="AA407" s="421">
        <v>78.691000000000003</v>
      </c>
      <c r="AB407" s="421"/>
      <c r="AC407" s="454">
        <v>33</v>
      </c>
      <c r="AE407" s="419" t="s">
        <v>2300</v>
      </c>
      <c r="AF407" s="454">
        <v>1</v>
      </c>
      <c r="AG407" s="441">
        <v>43101</v>
      </c>
      <c r="AJ407" s="442">
        <v>43272</v>
      </c>
      <c r="AL407" s="424" t="s">
        <v>1689</v>
      </c>
      <c r="AO407" s="445"/>
      <c r="AP407" s="454">
        <v>556711</v>
      </c>
      <c r="AQ407" s="443">
        <v>43272</v>
      </c>
      <c r="AR407" s="370">
        <v>0.5</v>
      </c>
      <c r="AT407" s="426"/>
      <c r="AU407" s="426"/>
      <c r="AV407" s="426"/>
      <c r="AY407" s="427" t="s">
        <v>1722</v>
      </c>
      <c r="AZ407" s="373"/>
      <c r="BB407" s="374" t="s">
        <v>1728</v>
      </c>
      <c r="BC407" s="445"/>
      <c r="BE407" s="448"/>
      <c r="BF407" s="449"/>
      <c r="BG407" s="428"/>
      <c r="BH407" s="445"/>
      <c r="BI407" s="491"/>
      <c r="BJ407" s="491">
        <v>7</v>
      </c>
      <c r="BK407" s="445" t="s">
        <v>3105</v>
      </c>
      <c r="BL407" s="419" t="s">
        <v>3106</v>
      </c>
      <c r="BM407" s="445"/>
      <c r="BN407" s="419"/>
      <c r="BO407" s="419"/>
      <c r="BP407" s="419"/>
      <c r="BQ407" s="419" t="s">
        <v>1269</v>
      </c>
      <c r="BR407" s="419">
        <v>5</v>
      </c>
      <c r="BS407" s="419"/>
      <c r="BT407" s="445"/>
      <c r="BU407" s="445"/>
      <c r="BV407" s="445"/>
      <c r="BW407" s="445" t="s">
        <v>2282</v>
      </c>
      <c r="BX407" s="445"/>
      <c r="BY407" s="445"/>
    </row>
    <row r="408" spans="1:77" ht="15">
      <c r="A408" s="370" t="s">
        <v>1269</v>
      </c>
      <c r="B408" s="415" t="s">
        <v>296</v>
      </c>
      <c r="C408" s="416" t="s">
        <v>1682</v>
      </c>
      <c r="D408" s="444">
        <v>0</v>
      </c>
      <c r="E408" s="415" t="s">
        <v>1716</v>
      </c>
      <c r="F408" s="444">
        <v>3</v>
      </c>
      <c r="G408" s="415" t="s">
        <v>1750</v>
      </c>
      <c r="H408" s="444">
        <v>40</v>
      </c>
      <c r="I408" s="417" t="s">
        <v>1683</v>
      </c>
      <c r="J408" s="444">
        <v>23.4</v>
      </c>
      <c r="K408" s="444">
        <v>829</v>
      </c>
      <c r="L408" s="444"/>
      <c r="M408" s="444">
        <v>0</v>
      </c>
      <c r="N408" s="444">
        <v>32</v>
      </c>
      <c r="O408" s="444"/>
      <c r="P408" s="444"/>
      <c r="Q408" s="444">
        <v>0</v>
      </c>
      <c r="R408" s="444">
        <v>0</v>
      </c>
      <c r="S408" s="444">
        <v>0</v>
      </c>
      <c r="T408" s="444">
        <v>0</v>
      </c>
      <c r="U408" s="444">
        <v>62</v>
      </c>
      <c r="V408" s="444">
        <v>61</v>
      </c>
      <c r="W408" s="444">
        <v>332</v>
      </c>
      <c r="X408" s="418"/>
      <c r="Y408" s="445"/>
      <c r="Z408" s="420"/>
      <c r="AA408" s="421">
        <v>78.891000000000005</v>
      </c>
      <c r="AB408" s="421"/>
      <c r="AC408" s="454">
        <v>37</v>
      </c>
      <c r="AE408" s="419" t="s">
        <v>2301</v>
      </c>
      <c r="AF408" s="454">
        <v>1</v>
      </c>
      <c r="AG408" s="441">
        <v>43101</v>
      </c>
      <c r="AJ408" s="442">
        <v>43272</v>
      </c>
      <c r="AL408" s="424" t="s">
        <v>1026</v>
      </c>
      <c r="AO408" s="445"/>
      <c r="AP408" s="454">
        <v>556711</v>
      </c>
      <c r="AQ408" s="443">
        <v>43272</v>
      </c>
      <c r="AR408" s="370">
        <v>0.5</v>
      </c>
      <c r="AT408" s="426"/>
      <c r="AU408" s="426"/>
      <c r="AV408" s="426"/>
      <c r="AY408" s="427" t="s">
        <v>1722</v>
      </c>
      <c r="AZ408" s="373"/>
      <c r="BB408" s="374" t="s">
        <v>1728</v>
      </c>
      <c r="BC408" s="445"/>
      <c r="BE408" s="448"/>
      <c r="BF408" s="449"/>
      <c r="BG408" s="428"/>
      <c r="BH408" s="445"/>
      <c r="BI408" s="491"/>
      <c r="BJ408" s="491">
        <v>8</v>
      </c>
      <c r="BK408" s="445" t="s">
        <v>3107</v>
      </c>
      <c r="BL408" s="419" t="s">
        <v>3108</v>
      </c>
      <c r="BM408" s="445"/>
      <c r="BN408" s="419"/>
      <c r="BO408" s="419"/>
      <c r="BP408" s="419"/>
      <c r="BQ408" s="419" t="s">
        <v>1269</v>
      </c>
      <c r="BR408" s="419">
        <v>5</v>
      </c>
      <c r="BS408" s="419"/>
      <c r="BT408" s="445"/>
      <c r="BU408" s="445"/>
      <c r="BV408" s="445"/>
      <c r="BW408" s="445" t="s">
        <v>2282</v>
      </c>
      <c r="BX408" s="445"/>
      <c r="BY408" s="445"/>
    </row>
    <row r="409" spans="1:77" ht="15">
      <c r="A409" s="370" t="s">
        <v>1269</v>
      </c>
      <c r="B409" s="415" t="s">
        <v>296</v>
      </c>
      <c r="C409" s="416" t="s">
        <v>1682</v>
      </c>
      <c r="D409" s="444">
        <v>0</v>
      </c>
      <c r="E409" s="415" t="s">
        <v>1716</v>
      </c>
      <c r="F409" s="444">
        <v>3</v>
      </c>
      <c r="G409" s="415" t="s">
        <v>1750</v>
      </c>
      <c r="H409" s="444">
        <v>159</v>
      </c>
      <c r="I409" s="417" t="s">
        <v>2302</v>
      </c>
      <c r="J409" s="444">
        <v>1.8</v>
      </c>
      <c r="K409" s="444">
        <v>78</v>
      </c>
      <c r="L409" s="444"/>
      <c r="M409" s="444">
        <v>0</v>
      </c>
      <c r="N409" s="444">
        <v>0</v>
      </c>
      <c r="O409" s="444"/>
      <c r="P409" s="444"/>
      <c r="Q409" s="444">
        <v>0</v>
      </c>
      <c r="R409" s="444">
        <v>0</v>
      </c>
      <c r="S409" s="444">
        <v>0</v>
      </c>
      <c r="T409" s="444">
        <v>0</v>
      </c>
      <c r="U409" s="444">
        <v>0</v>
      </c>
      <c r="V409" s="444">
        <v>0</v>
      </c>
      <c r="W409" s="444">
        <v>28</v>
      </c>
      <c r="X409" s="418"/>
      <c r="Y409" s="445"/>
      <c r="Z409" s="420"/>
      <c r="AA409" s="421">
        <v>89.072999999999993</v>
      </c>
      <c r="AB409" s="421"/>
      <c r="AC409" s="454">
        <v>4</v>
      </c>
      <c r="AE409" s="419" t="s">
        <v>2303</v>
      </c>
      <c r="AF409" s="454">
        <v>1</v>
      </c>
      <c r="AG409" s="441">
        <v>43101</v>
      </c>
      <c r="AJ409" s="442">
        <v>43272</v>
      </c>
      <c r="AL409" s="424" t="s">
        <v>915</v>
      </c>
      <c r="AO409" s="445"/>
      <c r="AP409" s="454">
        <v>556711</v>
      </c>
      <c r="AQ409" s="443">
        <v>43272</v>
      </c>
      <c r="AR409" s="370">
        <v>0.5</v>
      </c>
      <c r="AT409" s="426"/>
      <c r="AU409" s="426"/>
      <c r="AV409" s="426"/>
      <c r="AY409" s="427" t="s">
        <v>1722</v>
      </c>
      <c r="AZ409" s="373"/>
      <c r="BB409" s="374" t="s">
        <v>1728</v>
      </c>
      <c r="BC409" s="445"/>
      <c r="BE409" s="448"/>
      <c r="BF409" s="449"/>
      <c r="BG409" s="428"/>
      <c r="BH409" s="445"/>
      <c r="BI409" s="491"/>
      <c r="BJ409" s="491">
        <v>9</v>
      </c>
      <c r="BK409" s="445" t="s">
        <v>3109</v>
      </c>
      <c r="BL409" s="419" t="s">
        <v>3110</v>
      </c>
      <c r="BM409" s="445"/>
      <c r="BN409" s="419"/>
      <c r="BO409" s="419"/>
      <c r="BP409" s="419"/>
      <c r="BQ409" s="419" t="s">
        <v>1269</v>
      </c>
      <c r="BR409" s="419">
        <v>5</v>
      </c>
      <c r="BS409" s="419"/>
      <c r="BT409" s="445"/>
      <c r="BU409" s="445"/>
      <c r="BV409" s="445"/>
      <c r="BW409" s="445" t="s">
        <v>2282</v>
      </c>
      <c r="BX409" s="445"/>
      <c r="BY409" s="445"/>
    </row>
    <row r="410" spans="1:77" ht="15">
      <c r="A410" s="370" t="s">
        <v>1269</v>
      </c>
      <c r="B410" s="415" t="s">
        <v>296</v>
      </c>
      <c r="C410" s="416" t="s">
        <v>1682</v>
      </c>
      <c r="D410" s="444">
        <v>0</v>
      </c>
      <c r="E410" s="415" t="s">
        <v>1716</v>
      </c>
      <c r="F410" s="444">
        <v>3</v>
      </c>
      <c r="G410" s="415" t="s">
        <v>1750</v>
      </c>
      <c r="H410" s="444">
        <v>43</v>
      </c>
      <c r="I410" s="417" t="s">
        <v>1422</v>
      </c>
      <c r="J410" s="444">
        <v>1</v>
      </c>
      <c r="K410" s="444">
        <v>165</v>
      </c>
      <c r="L410" s="444"/>
      <c r="M410" s="444">
        <v>0</v>
      </c>
      <c r="N410" s="444">
        <v>0</v>
      </c>
      <c r="O410" s="444"/>
      <c r="P410" s="444"/>
      <c r="Q410" s="444">
        <v>0</v>
      </c>
      <c r="R410" s="444">
        <v>0</v>
      </c>
      <c r="S410" s="444">
        <v>0</v>
      </c>
      <c r="T410" s="444">
        <v>0</v>
      </c>
      <c r="U410" s="444">
        <v>25</v>
      </c>
      <c r="V410" s="444">
        <v>2</v>
      </c>
      <c r="W410" s="444">
        <v>27</v>
      </c>
      <c r="X410" s="418"/>
      <c r="Y410" s="445"/>
      <c r="Z410" s="420"/>
      <c r="AA410" s="421">
        <v>90.995000000000005</v>
      </c>
      <c r="AB410" s="421"/>
      <c r="AC410" s="454">
        <v>6</v>
      </c>
      <c r="AE410" s="419" t="s">
        <v>2304</v>
      </c>
      <c r="AF410" s="454">
        <v>1</v>
      </c>
      <c r="AG410" s="441">
        <v>43101</v>
      </c>
      <c r="AJ410" s="442">
        <v>43272</v>
      </c>
      <c r="AL410" s="424" t="s">
        <v>1026</v>
      </c>
      <c r="AO410" s="445"/>
      <c r="AP410" s="454">
        <v>556711</v>
      </c>
      <c r="AQ410" s="443">
        <v>43272</v>
      </c>
      <c r="AR410" s="370">
        <v>0.5</v>
      </c>
      <c r="AT410" s="426"/>
      <c r="AU410" s="426"/>
      <c r="AV410" s="426"/>
      <c r="AY410" s="427" t="s">
        <v>1722</v>
      </c>
      <c r="AZ410" s="373"/>
      <c r="BB410" s="374" t="s">
        <v>1728</v>
      </c>
      <c r="BC410" s="445"/>
      <c r="BE410" s="448"/>
      <c r="BF410" s="449"/>
      <c r="BG410" s="428"/>
      <c r="BH410" s="445"/>
      <c r="BI410" s="491"/>
      <c r="BJ410" s="491">
        <v>10</v>
      </c>
      <c r="BK410" s="445" t="s">
        <v>3111</v>
      </c>
      <c r="BL410" s="419" t="s">
        <v>3112</v>
      </c>
      <c r="BM410" s="445"/>
      <c r="BN410" s="419"/>
      <c r="BO410" s="419"/>
      <c r="BP410" s="419"/>
      <c r="BQ410" s="419" t="s">
        <v>1269</v>
      </c>
      <c r="BR410" s="419">
        <v>5</v>
      </c>
      <c r="BS410" s="419"/>
      <c r="BT410" s="445"/>
      <c r="BU410" s="445"/>
      <c r="BV410" s="445"/>
      <c r="BW410" s="445" t="s">
        <v>2282</v>
      </c>
      <c r="BX410" s="445"/>
      <c r="BY410" s="445"/>
    </row>
    <row r="411" spans="1:77" ht="15">
      <c r="A411" s="370" t="s">
        <v>1269</v>
      </c>
      <c r="B411" s="415" t="s">
        <v>19</v>
      </c>
      <c r="C411" s="416" t="s">
        <v>2131</v>
      </c>
      <c r="D411" s="444">
        <v>0</v>
      </c>
      <c r="E411" s="415" t="s">
        <v>1716</v>
      </c>
      <c r="F411" s="444">
        <v>3</v>
      </c>
      <c r="G411" s="415" t="s">
        <v>1750</v>
      </c>
      <c r="H411" s="444">
        <v>46</v>
      </c>
      <c r="I411" s="417" t="s">
        <v>1425</v>
      </c>
      <c r="J411" s="444">
        <v>0.3</v>
      </c>
      <c r="K411" s="444">
        <v>54</v>
      </c>
      <c r="L411" s="444"/>
      <c r="M411" s="444">
        <v>0</v>
      </c>
      <c r="N411" s="444">
        <v>3</v>
      </c>
      <c r="O411" s="444"/>
      <c r="P411" s="444"/>
      <c r="Q411" s="444">
        <v>0</v>
      </c>
      <c r="R411" s="444">
        <v>0</v>
      </c>
      <c r="S411" s="444">
        <v>0</v>
      </c>
      <c r="T411" s="444">
        <v>0</v>
      </c>
      <c r="U411" s="444">
        <v>0</v>
      </c>
      <c r="V411" s="444">
        <v>0</v>
      </c>
      <c r="W411" s="444">
        <v>16</v>
      </c>
      <c r="X411" s="418"/>
      <c r="Y411" s="445"/>
      <c r="Z411" s="420"/>
      <c r="AA411" s="421">
        <v>82.6</v>
      </c>
      <c r="AB411" s="421"/>
      <c r="AC411" s="454">
        <v>2</v>
      </c>
      <c r="AE411" s="419" t="s">
        <v>2305</v>
      </c>
      <c r="AF411" s="454">
        <v>1</v>
      </c>
      <c r="AG411" s="441">
        <v>43101</v>
      </c>
      <c r="AJ411" s="442">
        <v>43252</v>
      </c>
      <c r="AL411" s="424" t="s">
        <v>1037</v>
      </c>
      <c r="AO411" s="445"/>
      <c r="AP411" s="454">
        <v>556707</v>
      </c>
      <c r="AQ411" s="443">
        <v>43250</v>
      </c>
      <c r="AR411" s="370">
        <v>0.5</v>
      </c>
      <c r="AT411" s="426"/>
      <c r="AU411" s="426"/>
      <c r="AV411" s="426"/>
      <c r="AY411" s="427" t="s">
        <v>1559</v>
      </c>
      <c r="AZ411" s="373"/>
      <c r="BB411" s="374" t="s">
        <v>2214</v>
      </c>
      <c r="BC411" s="445"/>
      <c r="BE411" s="448"/>
      <c r="BF411" s="449"/>
      <c r="BG411" s="428"/>
      <c r="BH411" s="445"/>
      <c r="BI411" s="491"/>
      <c r="BJ411" s="491">
        <v>7</v>
      </c>
      <c r="BK411" s="445" t="s">
        <v>3113</v>
      </c>
      <c r="BL411" s="419" t="s">
        <v>3114</v>
      </c>
      <c r="BM411" s="445"/>
      <c r="BN411" s="419"/>
      <c r="BO411" s="419"/>
      <c r="BP411" s="419"/>
      <c r="BQ411" s="419" t="s">
        <v>1269</v>
      </c>
      <c r="BR411" s="419">
        <v>5</v>
      </c>
      <c r="BS411" s="419"/>
      <c r="BT411" s="445"/>
      <c r="BU411" s="445"/>
      <c r="BV411" s="445"/>
      <c r="BW411" s="445" t="s">
        <v>2282</v>
      </c>
      <c r="BX411" s="445"/>
      <c r="BY411" s="445"/>
    </row>
    <row r="412" spans="1:77" ht="15">
      <c r="A412" s="370" t="s">
        <v>1269</v>
      </c>
      <c r="B412" s="415" t="s">
        <v>19</v>
      </c>
      <c r="C412" s="416" t="s">
        <v>2131</v>
      </c>
      <c r="D412" s="444">
        <v>0</v>
      </c>
      <c r="E412" s="415" t="s">
        <v>1716</v>
      </c>
      <c r="F412" s="444">
        <v>3</v>
      </c>
      <c r="G412" s="415" t="s">
        <v>1750</v>
      </c>
      <c r="H412" s="444">
        <v>46</v>
      </c>
      <c r="I412" s="417" t="s">
        <v>2169</v>
      </c>
      <c r="J412" s="444">
        <v>0.2</v>
      </c>
      <c r="K412" s="444">
        <v>56</v>
      </c>
      <c r="L412" s="444"/>
      <c r="M412" s="444">
        <v>0</v>
      </c>
      <c r="N412" s="444">
        <v>5</v>
      </c>
      <c r="O412" s="444"/>
      <c r="P412" s="444"/>
      <c r="Q412" s="444">
        <v>0</v>
      </c>
      <c r="R412" s="444">
        <v>0</v>
      </c>
      <c r="S412" s="444">
        <v>0</v>
      </c>
      <c r="T412" s="444">
        <v>0</v>
      </c>
      <c r="U412" s="444">
        <v>0</v>
      </c>
      <c r="V412" s="444">
        <v>0</v>
      </c>
      <c r="W412" s="444">
        <v>19</v>
      </c>
      <c r="X412" s="418"/>
      <c r="Y412" s="445"/>
      <c r="Z412" s="420"/>
      <c r="AA412" s="421">
        <v>73.180000000000007</v>
      </c>
      <c r="AB412" s="421"/>
      <c r="AC412" s="454">
        <v>1</v>
      </c>
      <c r="AE412" s="419" t="s">
        <v>2306</v>
      </c>
      <c r="AF412" s="454">
        <v>1</v>
      </c>
      <c r="AG412" s="441">
        <v>43101</v>
      </c>
      <c r="AJ412" s="442">
        <v>43252</v>
      </c>
      <c r="AL412" s="424" t="s">
        <v>1037</v>
      </c>
      <c r="AO412" s="445"/>
      <c r="AP412" s="454">
        <v>556707</v>
      </c>
      <c r="AQ412" s="443">
        <v>43250</v>
      </c>
      <c r="AR412" s="370">
        <v>0.5</v>
      </c>
      <c r="AT412" s="426"/>
      <c r="AU412" s="426"/>
      <c r="AV412" s="426"/>
      <c r="AY412" s="427" t="s">
        <v>1559</v>
      </c>
      <c r="AZ412" s="373"/>
      <c r="BB412" s="374" t="s">
        <v>2214</v>
      </c>
      <c r="BC412" s="445"/>
      <c r="BE412" s="448"/>
      <c r="BF412" s="449"/>
      <c r="BG412" s="428"/>
      <c r="BH412" s="445"/>
      <c r="BI412" s="491"/>
      <c r="BJ412" s="491">
        <v>5</v>
      </c>
      <c r="BK412" s="445" t="s">
        <v>3115</v>
      </c>
      <c r="BL412" s="419" t="s">
        <v>3116</v>
      </c>
      <c r="BM412" s="445"/>
      <c r="BN412" s="419"/>
      <c r="BO412" s="419"/>
      <c r="BP412" s="419"/>
      <c r="BQ412" s="419" t="s">
        <v>1269</v>
      </c>
      <c r="BR412" s="419">
        <v>5</v>
      </c>
      <c r="BS412" s="419"/>
      <c r="BT412" s="445"/>
      <c r="BU412" s="445"/>
      <c r="BV412" s="445"/>
      <c r="BW412" s="445" t="s">
        <v>2282</v>
      </c>
      <c r="BX412" s="445"/>
      <c r="BY412" s="445"/>
    </row>
    <row r="413" spans="1:77" ht="15">
      <c r="A413" s="370" t="s">
        <v>1269</v>
      </c>
      <c r="B413" s="415" t="s">
        <v>19</v>
      </c>
      <c r="C413" s="416" t="s">
        <v>2131</v>
      </c>
      <c r="D413" s="444">
        <v>0</v>
      </c>
      <c r="E413" s="415" t="s">
        <v>1716</v>
      </c>
      <c r="F413" s="444">
        <v>3</v>
      </c>
      <c r="G413" s="415" t="s">
        <v>1750</v>
      </c>
      <c r="H413" s="444">
        <v>58</v>
      </c>
      <c r="I413" s="417" t="s">
        <v>1428</v>
      </c>
      <c r="J413" s="444">
        <v>0.4</v>
      </c>
      <c r="K413" s="444">
        <v>30</v>
      </c>
      <c r="L413" s="444"/>
      <c r="M413" s="444">
        <v>0</v>
      </c>
      <c r="N413" s="444">
        <v>1</v>
      </c>
      <c r="O413" s="444"/>
      <c r="P413" s="444"/>
      <c r="Q413" s="444">
        <v>0</v>
      </c>
      <c r="R413" s="444">
        <v>0</v>
      </c>
      <c r="S413" s="444">
        <v>0</v>
      </c>
      <c r="T413" s="444">
        <v>0</v>
      </c>
      <c r="U413" s="444">
        <v>0</v>
      </c>
      <c r="V413" s="444">
        <v>0</v>
      </c>
      <c r="W413" s="444">
        <v>8</v>
      </c>
      <c r="X413" s="418"/>
      <c r="Y413" s="445"/>
      <c r="Z413" s="420"/>
      <c r="AA413" s="421">
        <v>84.174999999999997</v>
      </c>
      <c r="AB413" s="421"/>
      <c r="AC413" s="454">
        <v>1</v>
      </c>
      <c r="AE413" s="419" t="s">
        <v>2307</v>
      </c>
      <c r="AF413" s="454">
        <v>1</v>
      </c>
      <c r="AG413" s="441">
        <v>43101</v>
      </c>
      <c r="AJ413" s="442">
        <v>43252</v>
      </c>
      <c r="AL413" s="424" t="s">
        <v>1037</v>
      </c>
      <c r="AO413" s="445"/>
      <c r="AP413" s="454">
        <v>556707</v>
      </c>
      <c r="AQ413" s="443">
        <v>43250</v>
      </c>
      <c r="AR413" s="370">
        <v>0.5</v>
      </c>
      <c r="AT413" s="426"/>
      <c r="AU413" s="426"/>
      <c r="AV413" s="426"/>
      <c r="AY413" s="427" t="s">
        <v>1559</v>
      </c>
      <c r="AZ413" s="373"/>
      <c r="BB413" s="374" t="s">
        <v>2214</v>
      </c>
      <c r="BC413" s="445"/>
      <c r="BE413" s="448"/>
      <c r="BF413" s="449"/>
      <c r="BG413" s="428"/>
      <c r="BH413" s="445"/>
      <c r="BI413" s="491"/>
      <c r="BJ413" s="491">
        <v>8</v>
      </c>
      <c r="BK413" s="445" t="s">
        <v>3117</v>
      </c>
      <c r="BL413" s="419" t="s">
        <v>3118</v>
      </c>
      <c r="BM413" s="445"/>
      <c r="BN413" s="419"/>
      <c r="BO413" s="419"/>
      <c r="BP413" s="419"/>
      <c r="BQ413" s="419" t="s">
        <v>1269</v>
      </c>
      <c r="BR413" s="419">
        <v>5</v>
      </c>
      <c r="BS413" s="419"/>
      <c r="BT413" s="445"/>
      <c r="BU413" s="445"/>
      <c r="BV413" s="445"/>
      <c r="BW413" s="445" t="s">
        <v>2282</v>
      </c>
      <c r="BX413" s="445"/>
      <c r="BY413" s="445"/>
    </row>
    <row r="414" spans="1:77" ht="15">
      <c r="A414" s="370" t="s">
        <v>1269</v>
      </c>
      <c r="B414" s="415" t="s">
        <v>19</v>
      </c>
      <c r="C414" s="416" t="s">
        <v>2131</v>
      </c>
      <c r="D414" s="444">
        <v>0</v>
      </c>
      <c r="E414" s="415" t="s">
        <v>1716</v>
      </c>
      <c r="F414" s="444">
        <v>3</v>
      </c>
      <c r="G414" s="415" t="s">
        <v>1750</v>
      </c>
      <c r="H414" s="444">
        <v>59</v>
      </c>
      <c r="I414" s="417" t="s">
        <v>1532</v>
      </c>
      <c r="J414" s="444">
        <v>0.2</v>
      </c>
      <c r="K414" s="444">
        <v>70</v>
      </c>
      <c r="L414" s="444"/>
      <c r="M414" s="444">
        <v>0</v>
      </c>
      <c r="N414" s="444">
        <v>3</v>
      </c>
      <c r="O414" s="444"/>
      <c r="P414" s="444"/>
      <c r="Q414" s="444">
        <v>0</v>
      </c>
      <c r="R414" s="444">
        <v>0</v>
      </c>
      <c r="S414" s="444">
        <v>0</v>
      </c>
      <c r="T414" s="444">
        <v>0</v>
      </c>
      <c r="U414" s="444">
        <v>0</v>
      </c>
      <c r="V414" s="444">
        <v>0</v>
      </c>
      <c r="W414" s="444">
        <v>17</v>
      </c>
      <c r="X414" s="418"/>
      <c r="Y414" s="445"/>
      <c r="Z414" s="420"/>
      <c r="AA414" s="421">
        <v>87.543000000000006</v>
      </c>
      <c r="AB414" s="421"/>
      <c r="AC414" s="454">
        <v>2</v>
      </c>
      <c r="AE414" s="419" t="s">
        <v>2308</v>
      </c>
      <c r="AF414" s="454">
        <v>1</v>
      </c>
      <c r="AG414" s="441">
        <v>43101</v>
      </c>
      <c r="AJ414" s="442">
        <v>43252</v>
      </c>
      <c r="AL414" s="424" t="s">
        <v>1037</v>
      </c>
      <c r="AO414" s="445"/>
      <c r="AP414" s="454">
        <v>556707</v>
      </c>
      <c r="AQ414" s="443">
        <v>43250</v>
      </c>
      <c r="AR414" s="370">
        <v>0.5</v>
      </c>
      <c r="AT414" s="426"/>
      <c r="AU414" s="426"/>
      <c r="AV414" s="426"/>
      <c r="AY414" s="427" t="s">
        <v>1559</v>
      </c>
      <c r="AZ414" s="373"/>
      <c r="BB414" s="374" t="s">
        <v>2214</v>
      </c>
      <c r="BC414" s="445"/>
      <c r="BE414" s="448"/>
      <c r="BF414" s="449"/>
      <c r="BG414" s="428"/>
      <c r="BH414" s="445"/>
      <c r="BI414" s="491"/>
      <c r="BJ414" s="491">
        <v>9</v>
      </c>
      <c r="BK414" s="445" t="s">
        <v>3119</v>
      </c>
      <c r="BL414" s="419" t="s">
        <v>3120</v>
      </c>
      <c r="BM414" s="445"/>
      <c r="BN414" s="419"/>
      <c r="BO414" s="419"/>
      <c r="BP414" s="419"/>
      <c r="BQ414" s="419" t="s">
        <v>1269</v>
      </c>
      <c r="BR414" s="419">
        <v>5</v>
      </c>
      <c r="BS414" s="419"/>
      <c r="BT414" s="445"/>
      <c r="BU414" s="445"/>
      <c r="BV414" s="445"/>
      <c r="BW414" s="445" t="s">
        <v>2282</v>
      </c>
      <c r="BX414" s="445"/>
      <c r="BY414" s="445"/>
    </row>
    <row r="415" spans="1:77" ht="15">
      <c r="A415" s="370" t="s">
        <v>1269</v>
      </c>
      <c r="B415" s="415" t="s">
        <v>216</v>
      </c>
      <c r="C415" s="416" t="s">
        <v>1784</v>
      </c>
      <c r="D415" s="444">
        <v>0</v>
      </c>
      <c r="E415" s="415" t="s">
        <v>1749</v>
      </c>
      <c r="F415" s="444">
        <v>3</v>
      </c>
      <c r="G415" s="415" t="s">
        <v>1750</v>
      </c>
      <c r="H415" s="444">
        <v>34</v>
      </c>
      <c r="I415" s="417" t="s">
        <v>1768</v>
      </c>
      <c r="J415" s="444">
        <v>1.4</v>
      </c>
      <c r="K415" s="444">
        <v>450</v>
      </c>
      <c r="L415" s="444"/>
      <c r="M415" s="444">
        <v>0</v>
      </c>
      <c r="N415" s="444">
        <v>0</v>
      </c>
      <c r="O415" s="444"/>
      <c r="P415" s="444"/>
      <c r="Q415" s="444">
        <v>200</v>
      </c>
      <c r="R415" s="444"/>
      <c r="S415" s="444">
        <v>0</v>
      </c>
      <c r="T415" s="444">
        <v>0</v>
      </c>
      <c r="U415" s="444"/>
      <c r="V415" s="444">
        <v>0</v>
      </c>
      <c r="W415" s="444">
        <v>0</v>
      </c>
      <c r="X415" s="418"/>
      <c r="Y415" s="445"/>
      <c r="Z415" s="420"/>
      <c r="AA415" s="421">
        <v>46.082999999999998</v>
      </c>
      <c r="AB415" s="421"/>
      <c r="AC415" s="454">
        <v>23</v>
      </c>
      <c r="AE415" s="419" t="s">
        <v>2310</v>
      </c>
      <c r="AF415" s="454">
        <v>1</v>
      </c>
      <c r="AG415" s="441">
        <v>43101</v>
      </c>
      <c r="AJ415" s="442">
        <v>43132</v>
      </c>
      <c r="AL415" s="424" t="s">
        <v>928</v>
      </c>
      <c r="AO415" s="445"/>
      <c r="AP415" s="454">
        <v>556624</v>
      </c>
      <c r="AQ415" s="443">
        <v>43102</v>
      </c>
      <c r="AR415" s="370">
        <v>0.5</v>
      </c>
      <c r="AT415" s="426"/>
      <c r="AU415" s="426"/>
      <c r="AV415" s="426"/>
      <c r="AY415" s="427" t="s">
        <v>1559</v>
      </c>
      <c r="AZ415" s="373"/>
      <c r="BB415" s="374" t="s">
        <v>2214</v>
      </c>
      <c r="BC415" s="445"/>
      <c r="BE415" s="448"/>
      <c r="BF415" s="449"/>
      <c r="BG415" s="428"/>
      <c r="BH415" s="445"/>
      <c r="BI415" s="491"/>
      <c r="BJ415" s="491">
        <v>14</v>
      </c>
      <c r="BK415" s="445" t="s">
        <v>2771</v>
      </c>
      <c r="BL415" s="419" t="s">
        <v>2772</v>
      </c>
      <c r="BM415" s="445"/>
      <c r="BN415" s="419"/>
      <c r="BO415" s="419"/>
      <c r="BP415" s="419"/>
      <c r="BQ415" s="419" t="s">
        <v>1269</v>
      </c>
      <c r="BR415" s="419">
        <v>2</v>
      </c>
      <c r="BS415" s="419"/>
      <c r="BT415" s="445"/>
      <c r="BU415" s="445"/>
      <c r="BV415" s="445"/>
      <c r="BW415" s="445" t="s">
        <v>2282</v>
      </c>
      <c r="BX415" s="445"/>
      <c r="BY415" s="445"/>
    </row>
    <row r="416" spans="1:77" ht="15">
      <c r="A416" s="370" t="s">
        <v>1783</v>
      </c>
      <c r="B416" s="415" t="s">
        <v>216</v>
      </c>
      <c r="C416" s="416" t="s">
        <v>2081</v>
      </c>
      <c r="D416" s="444">
        <v>0</v>
      </c>
      <c r="E416" s="415" t="s">
        <v>1749</v>
      </c>
      <c r="F416" s="444">
        <v>3</v>
      </c>
      <c r="G416" s="415" t="s">
        <v>1750</v>
      </c>
      <c r="H416" s="444">
        <v>85</v>
      </c>
      <c r="I416" s="417" t="s">
        <v>2311</v>
      </c>
      <c r="J416" s="444">
        <v>0.5</v>
      </c>
      <c r="K416" s="444">
        <v>450</v>
      </c>
      <c r="L416" s="444"/>
      <c r="M416" s="444">
        <v>0</v>
      </c>
      <c r="N416" s="444">
        <v>80</v>
      </c>
      <c r="O416" s="444"/>
      <c r="P416" s="444"/>
      <c r="Q416" s="444">
        <v>0</v>
      </c>
      <c r="R416" s="444"/>
      <c r="S416" s="444">
        <v>0</v>
      </c>
      <c r="T416" s="444">
        <v>0</v>
      </c>
      <c r="U416" s="444"/>
      <c r="V416" s="444">
        <v>0</v>
      </c>
      <c r="W416" s="444">
        <v>0</v>
      </c>
      <c r="X416" s="418"/>
      <c r="Y416" s="445"/>
      <c r="Z416" s="420"/>
      <c r="AA416" s="421">
        <v>185.59</v>
      </c>
      <c r="AB416" s="421"/>
      <c r="AC416" s="454">
        <v>23</v>
      </c>
      <c r="AE416" s="419" t="s">
        <v>2312</v>
      </c>
      <c r="AF416" s="454">
        <v>1</v>
      </c>
      <c r="AG416" s="441">
        <v>43101</v>
      </c>
      <c r="AJ416" s="442">
        <v>43252</v>
      </c>
      <c r="AL416" s="424" t="s">
        <v>1772</v>
      </c>
      <c r="AO416" s="445"/>
      <c r="AP416" s="454">
        <v>556665</v>
      </c>
      <c r="AQ416" s="443">
        <v>43192</v>
      </c>
      <c r="AR416" s="370">
        <v>0.3</v>
      </c>
      <c r="AT416" s="426"/>
      <c r="AU416" s="426"/>
      <c r="AV416" s="426"/>
      <c r="AY416" s="427" t="s">
        <v>1559</v>
      </c>
      <c r="AZ416" s="373"/>
      <c r="BB416" s="374" t="s">
        <v>2214</v>
      </c>
      <c r="BC416" s="445"/>
      <c r="BE416" s="448"/>
      <c r="BF416" s="449"/>
      <c r="BG416" s="428"/>
      <c r="BH416" s="445"/>
      <c r="BI416" s="491"/>
      <c r="BJ416" s="491">
        <v>73</v>
      </c>
      <c r="BK416" s="445" t="s">
        <v>3121</v>
      </c>
      <c r="BL416" s="419" t="s">
        <v>3122</v>
      </c>
      <c r="BM416" s="445"/>
      <c r="BN416" s="419"/>
      <c r="BO416" s="419"/>
      <c r="BP416" s="419"/>
      <c r="BQ416" s="419" t="s">
        <v>1783</v>
      </c>
      <c r="BR416" s="419">
        <v>2</v>
      </c>
      <c r="BS416" s="419"/>
      <c r="BT416" s="445"/>
      <c r="BU416" s="445"/>
      <c r="BV416" s="445"/>
      <c r="BW416" s="445" t="s">
        <v>2282</v>
      </c>
      <c r="BX416" s="445"/>
      <c r="BY416" s="445"/>
    </row>
    <row r="417" spans="1:77" ht="15">
      <c r="A417" s="370" t="s">
        <v>1783</v>
      </c>
      <c r="B417" s="415" t="s">
        <v>216</v>
      </c>
      <c r="C417" s="416" t="s">
        <v>2081</v>
      </c>
      <c r="D417" s="444">
        <v>0</v>
      </c>
      <c r="E417" s="415" t="s">
        <v>1749</v>
      </c>
      <c r="F417" s="444">
        <v>3</v>
      </c>
      <c r="G417" s="415" t="s">
        <v>1750</v>
      </c>
      <c r="H417" s="444">
        <v>55</v>
      </c>
      <c r="I417" s="417" t="s">
        <v>1660</v>
      </c>
      <c r="J417" s="444">
        <v>1.1000000000000001</v>
      </c>
      <c r="K417" s="444">
        <v>450</v>
      </c>
      <c r="L417" s="444"/>
      <c r="M417" s="444">
        <v>0</v>
      </c>
      <c r="N417" s="444">
        <v>60</v>
      </c>
      <c r="O417" s="444"/>
      <c r="P417" s="444"/>
      <c r="Q417" s="444">
        <v>0</v>
      </c>
      <c r="R417" s="444"/>
      <c r="S417" s="444">
        <v>0</v>
      </c>
      <c r="T417" s="444">
        <v>0</v>
      </c>
      <c r="U417" s="444"/>
      <c r="V417" s="444">
        <v>0</v>
      </c>
      <c r="W417" s="444">
        <v>0</v>
      </c>
      <c r="X417" s="418"/>
      <c r="Y417" s="445"/>
      <c r="Z417" s="420"/>
      <c r="AA417" s="421">
        <v>229.39</v>
      </c>
      <c r="AB417" s="421"/>
      <c r="AC417" s="454">
        <v>23</v>
      </c>
      <c r="AE417" s="419" t="s">
        <v>2313</v>
      </c>
      <c r="AF417" s="454">
        <v>1</v>
      </c>
      <c r="AG417" s="441">
        <v>43101</v>
      </c>
      <c r="AJ417" s="442">
        <v>43252</v>
      </c>
      <c r="AL417" s="424" t="s">
        <v>914</v>
      </c>
      <c r="AO417" s="445"/>
      <c r="AP417" s="454">
        <v>556665</v>
      </c>
      <c r="AQ417" s="443">
        <v>43192</v>
      </c>
      <c r="AR417" s="370">
        <v>0.3</v>
      </c>
      <c r="AT417" s="426"/>
      <c r="AU417" s="426"/>
      <c r="AV417" s="426"/>
      <c r="AY417" s="427" t="s">
        <v>1559</v>
      </c>
      <c r="AZ417" s="373"/>
      <c r="BB417" s="374" t="s">
        <v>2214</v>
      </c>
      <c r="BC417" s="445"/>
      <c r="BE417" s="448"/>
      <c r="BF417" s="449"/>
      <c r="BG417" s="428"/>
      <c r="BH417" s="445"/>
      <c r="BI417" s="491"/>
      <c r="BJ417" s="491">
        <v>74</v>
      </c>
      <c r="BK417" s="445" t="s">
        <v>3123</v>
      </c>
      <c r="BL417" s="419" t="s">
        <v>3124</v>
      </c>
      <c r="BM417" s="445"/>
      <c r="BN417" s="419"/>
      <c r="BO417" s="419"/>
      <c r="BP417" s="419"/>
      <c r="BQ417" s="419" t="s">
        <v>1783</v>
      </c>
      <c r="BR417" s="419">
        <v>2</v>
      </c>
      <c r="BS417" s="419"/>
      <c r="BT417" s="445"/>
      <c r="BU417" s="445"/>
      <c r="BV417" s="445"/>
      <c r="BW417" s="445" t="s">
        <v>2282</v>
      </c>
      <c r="BX417" s="445"/>
      <c r="BY417" s="445"/>
    </row>
    <row r="418" spans="1:77" ht="15">
      <c r="A418" s="370" t="s">
        <v>1269</v>
      </c>
      <c r="B418" s="415" t="s">
        <v>216</v>
      </c>
      <c r="C418" s="416" t="s">
        <v>1693</v>
      </c>
      <c r="D418" s="444">
        <v>0</v>
      </c>
      <c r="E418" s="415" t="s">
        <v>1716</v>
      </c>
      <c r="F418" s="444">
        <v>3</v>
      </c>
      <c r="G418" s="415" t="s">
        <v>1661</v>
      </c>
      <c r="H418" s="444">
        <v>120</v>
      </c>
      <c r="I418" s="417" t="s">
        <v>1694</v>
      </c>
      <c r="J418" s="444">
        <v>0.8</v>
      </c>
      <c r="K418" s="444">
        <v>257</v>
      </c>
      <c r="L418" s="444">
        <v>0</v>
      </c>
      <c r="M418" s="444">
        <v>0</v>
      </c>
      <c r="N418" s="444">
        <v>0</v>
      </c>
      <c r="O418" s="444">
        <v>0</v>
      </c>
      <c r="P418" s="444">
        <v>0</v>
      </c>
      <c r="Q418" s="444">
        <v>0</v>
      </c>
      <c r="R418" s="444">
        <v>0</v>
      </c>
      <c r="S418" s="444">
        <v>0</v>
      </c>
      <c r="T418" s="444">
        <v>0</v>
      </c>
      <c r="U418" s="444">
        <v>2</v>
      </c>
      <c r="V418" s="444">
        <v>1</v>
      </c>
      <c r="W418" s="444">
        <v>8</v>
      </c>
      <c r="X418" s="418"/>
      <c r="Y418" s="445"/>
      <c r="Z418" s="420"/>
      <c r="AA418" s="421">
        <v>339.31900000000002</v>
      </c>
      <c r="AB418" s="421">
        <v>29.978000000000002</v>
      </c>
      <c r="AC418" s="454">
        <v>0</v>
      </c>
      <c r="AE418" s="419" t="s">
        <v>2314</v>
      </c>
      <c r="AF418" s="454">
        <v>1</v>
      </c>
      <c r="AG418" s="441">
        <v>43101</v>
      </c>
      <c r="AJ418" s="442">
        <v>43252</v>
      </c>
      <c r="AL418" s="424" t="s">
        <v>1018</v>
      </c>
      <c r="AO418" s="445"/>
      <c r="AP418" s="454">
        <v>556625</v>
      </c>
      <c r="AQ418" s="443">
        <v>43102</v>
      </c>
      <c r="AT418" s="426"/>
      <c r="AU418" s="426"/>
      <c r="AV418" s="426"/>
      <c r="AY418" s="427" t="s">
        <v>1559</v>
      </c>
      <c r="AZ418" s="373"/>
      <c r="BB418" s="374" t="s">
        <v>2214</v>
      </c>
      <c r="BC418" s="445"/>
      <c r="BE418" s="448">
        <v>0</v>
      </c>
      <c r="BF418" s="449">
        <v>0</v>
      </c>
      <c r="BG418" s="428" t="s">
        <v>1764</v>
      </c>
      <c r="BH418" s="445"/>
      <c r="BI418" s="491"/>
      <c r="BJ418" s="491">
        <v>75</v>
      </c>
      <c r="BK418" s="445" t="s">
        <v>2957</v>
      </c>
      <c r="BL418" s="419" t="s">
        <v>2958</v>
      </c>
      <c r="BM418" s="445"/>
      <c r="BN418" s="419" t="s">
        <v>1765</v>
      </c>
      <c r="BO418" s="419" t="s">
        <v>1765</v>
      </c>
      <c r="BP418" s="419" t="s">
        <v>1765</v>
      </c>
      <c r="BQ418" s="419" t="s">
        <v>1269</v>
      </c>
      <c r="BR418" s="419"/>
      <c r="BS418" s="419"/>
      <c r="BT418" s="445"/>
      <c r="BU418" s="445"/>
      <c r="BV418" s="445"/>
      <c r="BW418" s="445" t="s">
        <v>2282</v>
      </c>
      <c r="BX418" s="445"/>
      <c r="BY418" s="445"/>
    </row>
    <row r="419" spans="1:77" ht="15">
      <c r="A419" s="370" t="s">
        <v>1269</v>
      </c>
      <c r="B419" s="415" t="s">
        <v>216</v>
      </c>
      <c r="C419" s="416" t="s">
        <v>1767</v>
      </c>
      <c r="D419" s="444">
        <v>0</v>
      </c>
      <c r="E419" s="415" t="s">
        <v>1716</v>
      </c>
      <c r="F419" s="444">
        <v>3</v>
      </c>
      <c r="G419" s="415" t="s">
        <v>1661</v>
      </c>
      <c r="H419" s="444">
        <v>53</v>
      </c>
      <c r="I419" s="417" t="s">
        <v>2169</v>
      </c>
      <c r="J419" s="444">
        <v>1</v>
      </c>
      <c r="K419" s="444">
        <v>68</v>
      </c>
      <c r="L419" s="444">
        <v>0</v>
      </c>
      <c r="M419" s="444">
        <v>0</v>
      </c>
      <c r="N419" s="444">
        <v>1</v>
      </c>
      <c r="O419" s="444">
        <v>0</v>
      </c>
      <c r="P419" s="444">
        <v>0</v>
      </c>
      <c r="Q419" s="444">
        <v>0</v>
      </c>
      <c r="R419" s="444">
        <v>0</v>
      </c>
      <c r="S419" s="444">
        <v>0</v>
      </c>
      <c r="T419" s="444">
        <v>14</v>
      </c>
      <c r="U419" s="444">
        <v>0</v>
      </c>
      <c r="V419" s="444">
        <v>0</v>
      </c>
      <c r="W419" s="444">
        <v>0</v>
      </c>
      <c r="X419" s="418"/>
      <c r="Y419" s="445"/>
      <c r="Z419" s="420"/>
      <c r="AA419" s="421">
        <v>109.339</v>
      </c>
      <c r="AB419" s="421">
        <v>29.978000000000002</v>
      </c>
      <c r="AC419" s="454">
        <v>1</v>
      </c>
      <c r="AE419" s="419" t="s">
        <v>2315</v>
      </c>
      <c r="AF419" s="454">
        <v>1</v>
      </c>
      <c r="AG419" s="441">
        <v>43101</v>
      </c>
      <c r="AJ419" s="442">
        <v>43252</v>
      </c>
      <c r="AL419" s="424" t="s">
        <v>914</v>
      </c>
      <c r="AO419" s="445"/>
      <c r="AP419" s="454">
        <v>556702</v>
      </c>
      <c r="AQ419" s="443">
        <v>43234</v>
      </c>
      <c r="AT419" s="426"/>
      <c r="AU419" s="426"/>
      <c r="AV419" s="426"/>
      <c r="AY419" s="427" t="s">
        <v>1559</v>
      </c>
      <c r="AZ419" s="373"/>
      <c r="BB419" s="374" t="s">
        <v>2214</v>
      </c>
      <c r="BC419" s="445"/>
      <c r="BE419" s="448">
        <v>0</v>
      </c>
      <c r="BF419" s="449">
        <v>0</v>
      </c>
      <c r="BG419" s="428" t="s">
        <v>1764</v>
      </c>
      <c r="BH419" s="445"/>
      <c r="BI419" s="491"/>
      <c r="BJ419" s="491">
        <v>76</v>
      </c>
      <c r="BK419" s="445" t="s">
        <v>3006</v>
      </c>
      <c r="BL419" s="419" t="s">
        <v>3007</v>
      </c>
      <c r="BM419" s="445"/>
      <c r="BN419" s="419" t="s">
        <v>1765</v>
      </c>
      <c r="BO419" s="419" t="s">
        <v>1765</v>
      </c>
      <c r="BP419" s="419" t="s">
        <v>1765</v>
      </c>
      <c r="BQ419" s="419" t="s">
        <v>1269</v>
      </c>
      <c r="BR419" s="419"/>
      <c r="BS419" s="419"/>
      <c r="BT419" s="445"/>
      <c r="BU419" s="445"/>
      <c r="BV419" s="445"/>
      <c r="BW419" s="445" t="s">
        <v>2282</v>
      </c>
      <c r="BX419" s="445"/>
      <c r="BY419" s="445"/>
    </row>
    <row r="420" spans="1:77" ht="15">
      <c r="A420" s="370" t="s">
        <v>1269</v>
      </c>
      <c r="B420" s="415" t="s">
        <v>216</v>
      </c>
      <c r="C420" s="416" t="s">
        <v>1767</v>
      </c>
      <c r="D420" s="444">
        <v>0</v>
      </c>
      <c r="E420" s="415" t="s">
        <v>1749</v>
      </c>
      <c r="F420" s="444">
        <v>3</v>
      </c>
      <c r="G420" s="415" t="s">
        <v>1750</v>
      </c>
      <c r="H420" s="444">
        <v>65</v>
      </c>
      <c r="I420" s="417" t="s">
        <v>1660</v>
      </c>
      <c r="J420" s="444">
        <v>0.4</v>
      </c>
      <c r="K420" s="444">
        <v>37</v>
      </c>
      <c r="L420" s="444"/>
      <c r="M420" s="444">
        <v>19</v>
      </c>
      <c r="N420" s="444">
        <v>0</v>
      </c>
      <c r="O420" s="444"/>
      <c r="P420" s="444"/>
      <c r="Q420" s="444"/>
      <c r="R420" s="444"/>
      <c r="S420" s="444">
        <v>0</v>
      </c>
      <c r="T420" s="444">
        <v>0</v>
      </c>
      <c r="U420" s="444"/>
      <c r="V420" s="444">
        <v>14</v>
      </c>
      <c r="W420" s="444">
        <v>0</v>
      </c>
      <c r="X420" s="418"/>
      <c r="Y420" s="445"/>
      <c r="Z420" s="420"/>
      <c r="AA420" s="421">
        <v>44.552</v>
      </c>
      <c r="AB420" s="421"/>
      <c r="AC420" s="454">
        <v>4</v>
      </c>
      <c r="AE420" s="419" t="s">
        <v>2316</v>
      </c>
      <c r="AF420" s="454">
        <v>1</v>
      </c>
      <c r="AG420" s="441">
        <v>43101</v>
      </c>
      <c r="AJ420" s="442">
        <v>43252</v>
      </c>
      <c r="AL420" s="424" t="s">
        <v>914</v>
      </c>
      <c r="AO420" s="445"/>
      <c r="AP420" s="454">
        <v>556648</v>
      </c>
      <c r="AQ420" s="443">
        <v>43124</v>
      </c>
      <c r="AT420" s="426"/>
      <c r="AU420" s="426"/>
      <c r="AV420" s="426"/>
      <c r="AY420" s="427" t="s">
        <v>1559</v>
      </c>
      <c r="AZ420" s="373"/>
      <c r="BB420" s="374" t="s">
        <v>2214</v>
      </c>
      <c r="BC420" s="445"/>
      <c r="BE420" s="448"/>
      <c r="BF420" s="449"/>
      <c r="BG420" s="428"/>
      <c r="BH420" s="445"/>
      <c r="BI420" s="491"/>
      <c r="BJ420" s="491">
        <v>77</v>
      </c>
      <c r="BK420" s="445" t="s">
        <v>1902</v>
      </c>
      <c r="BL420" s="419" t="s">
        <v>2683</v>
      </c>
      <c r="BM420" s="445"/>
      <c r="BN420" s="419"/>
      <c r="BO420" s="419"/>
      <c r="BP420" s="419"/>
      <c r="BQ420" s="419" t="s">
        <v>1269</v>
      </c>
      <c r="BR420" s="419"/>
      <c r="BS420" s="419"/>
      <c r="BT420" s="445"/>
      <c r="BU420" s="445"/>
      <c r="BV420" s="445"/>
      <c r="BW420" s="445" t="s">
        <v>2282</v>
      </c>
      <c r="BX420" s="445"/>
      <c r="BY420" s="445"/>
    </row>
    <row r="421" spans="1:77" ht="15">
      <c r="A421" s="370" t="s">
        <v>1269</v>
      </c>
      <c r="B421" s="415" t="s">
        <v>216</v>
      </c>
      <c r="C421" s="416" t="s">
        <v>1767</v>
      </c>
      <c r="D421" s="444">
        <v>0</v>
      </c>
      <c r="E421" s="415" t="s">
        <v>1716</v>
      </c>
      <c r="F421" s="444">
        <v>3</v>
      </c>
      <c r="G421" s="415" t="s">
        <v>1661</v>
      </c>
      <c r="H421" s="444">
        <v>54</v>
      </c>
      <c r="I421" s="417" t="s">
        <v>1433</v>
      </c>
      <c r="J421" s="444">
        <v>0.8</v>
      </c>
      <c r="K421" s="444">
        <v>128</v>
      </c>
      <c r="L421" s="444">
        <v>0</v>
      </c>
      <c r="M421" s="444">
        <v>10</v>
      </c>
      <c r="N421" s="444">
        <v>0</v>
      </c>
      <c r="O421" s="444">
        <v>0</v>
      </c>
      <c r="P421" s="444">
        <v>0</v>
      </c>
      <c r="Q421" s="444">
        <v>0</v>
      </c>
      <c r="R421" s="444">
        <v>0</v>
      </c>
      <c r="S421" s="444">
        <v>27</v>
      </c>
      <c r="T421" s="444">
        <v>0</v>
      </c>
      <c r="U421" s="444">
        <v>0</v>
      </c>
      <c r="V421" s="444">
        <v>0</v>
      </c>
      <c r="W421" s="444">
        <v>0</v>
      </c>
      <c r="X421" s="418"/>
      <c r="Y421" s="445"/>
      <c r="Z421" s="420"/>
      <c r="AA421" s="421">
        <v>73.584999999999994</v>
      </c>
      <c r="AB421" s="421">
        <v>29.978000000000002</v>
      </c>
      <c r="AC421" s="454">
        <v>5</v>
      </c>
      <c r="AE421" s="419" t="s">
        <v>2317</v>
      </c>
      <c r="AF421" s="454">
        <v>1</v>
      </c>
      <c r="AG421" s="441">
        <v>43101</v>
      </c>
      <c r="AJ421" s="442">
        <v>43252</v>
      </c>
      <c r="AL421" s="424" t="s">
        <v>914</v>
      </c>
      <c r="AO421" s="445"/>
      <c r="AP421" s="454">
        <v>556702</v>
      </c>
      <c r="AQ421" s="443">
        <v>43234</v>
      </c>
      <c r="AT421" s="426"/>
      <c r="AU421" s="426"/>
      <c r="AV421" s="426"/>
      <c r="AY421" s="427" t="s">
        <v>1559</v>
      </c>
      <c r="AZ421" s="373"/>
      <c r="BB421" s="374" t="s">
        <v>2214</v>
      </c>
      <c r="BC421" s="445"/>
      <c r="BE421" s="448">
        <v>0</v>
      </c>
      <c r="BF421" s="449">
        <v>0</v>
      </c>
      <c r="BG421" s="428" t="s">
        <v>1764</v>
      </c>
      <c r="BH421" s="445"/>
      <c r="BI421" s="491"/>
      <c r="BJ421" s="491">
        <v>78</v>
      </c>
      <c r="BK421" s="445" t="s">
        <v>142</v>
      </c>
      <c r="BL421" s="419" t="s">
        <v>3003</v>
      </c>
      <c r="BM421" s="445"/>
      <c r="BN421" s="419" t="s">
        <v>1765</v>
      </c>
      <c r="BO421" s="419" t="s">
        <v>1765</v>
      </c>
      <c r="BP421" s="419" t="s">
        <v>1765</v>
      </c>
      <c r="BQ421" s="419" t="s">
        <v>1269</v>
      </c>
      <c r="BR421" s="419"/>
      <c r="BS421" s="419"/>
      <c r="BT421" s="445"/>
      <c r="BU421" s="445"/>
      <c r="BV421" s="445"/>
      <c r="BW421" s="445" t="s">
        <v>2282</v>
      </c>
      <c r="BX421" s="445"/>
      <c r="BY421" s="445"/>
    </row>
    <row r="422" spans="1:77" ht="15">
      <c r="A422" s="370" t="s">
        <v>1269</v>
      </c>
      <c r="B422" s="415" t="s">
        <v>216</v>
      </c>
      <c r="C422" s="416" t="s">
        <v>1767</v>
      </c>
      <c r="D422" s="444">
        <v>0</v>
      </c>
      <c r="E422" s="415" t="s">
        <v>1716</v>
      </c>
      <c r="F422" s="444">
        <v>3</v>
      </c>
      <c r="G422" s="415" t="s">
        <v>1661</v>
      </c>
      <c r="H422" s="444">
        <v>55</v>
      </c>
      <c r="I422" s="417" t="s">
        <v>1436</v>
      </c>
      <c r="J422" s="444">
        <v>1</v>
      </c>
      <c r="K422" s="444">
        <v>77</v>
      </c>
      <c r="L422" s="444">
        <v>0</v>
      </c>
      <c r="M422" s="444">
        <v>0</v>
      </c>
      <c r="N422" s="444">
        <v>3</v>
      </c>
      <c r="O422" s="444">
        <v>0</v>
      </c>
      <c r="P422" s="444">
        <v>0</v>
      </c>
      <c r="Q422" s="444">
        <v>0</v>
      </c>
      <c r="R422" s="444">
        <v>0</v>
      </c>
      <c r="S422" s="444">
        <v>0</v>
      </c>
      <c r="T422" s="444">
        <v>17</v>
      </c>
      <c r="U422" s="444">
        <v>0</v>
      </c>
      <c r="V422" s="444">
        <v>0</v>
      </c>
      <c r="W422" s="444">
        <v>0</v>
      </c>
      <c r="X422" s="418"/>
      <c r="Y422" s="445"/>
      <c r="Z422" s="420"/>
      <c r="AA422" s="421">
        <v>94.741</v>
      </c>
      <c r="AB422" s="421">
        <v>29.978000000000002</v>
      </c>
      <c r="AC422" s="454">
        <v>1</v>
      </c>
      <c r="AE422" s="419" t="s">
        <v>2318</v>
      </c>
      <c r="AF422" s="454">
        <v>1</v>
      </c>
      <c r="AG422" s="441">
        <v>43101</v>
      </c>
      <c r="AJ422" s="442">
        <v>43252</v>
      </c>
      <c r="AL422" s="424" t="s">
        <v>914</v>
      </c>
      <c r="AO422" s="445"/>
      <c r="AP422" s="454">
        <v>556702</v>
      </c>
      <c r="AQ422" s="443">
        <v>43234</v>
      </c>
      <c r="AT422" s="426"/>
      <c r="AU422" s="426"/>
      <c r="AV422" s="426"/>
      <c r="AY422" s="427" t="s">
        <v>1559</v>
      </c>
      <c r="AZ422" s="373"/>
      <c r="BB422" s="374" t="s">
        <v>2214</v>
      </c>
      <c r="BC422" s="445"/>
      <c r="BE422" s="448">
        <v>0</v>
      </c>
      <c r="BF422" s="449">
        <v>0</v>
      </c>
      <c r="BG422" s="428" t="s">
        <v>1764</v>
      </c>
      <c r="BH422" s="445"/>
      <c r="BI422" s="491"/>
      <c r="BJ422" s="491">
        <v>79</v>
      </c>
      <c r="BK422" s="445" t="s">
        <v>3020</v>
      </c>
      <c r="BL422" s="419" t="s">
        <v>3021</v>
      </c>
      <c r="BM422" s="445"/>
      <c r="BN422" s="419" t="s">
        <v>1765</v>
      </c>
      <c r="BO422" s="419" t="s">
        <v>1765</v>
      </c>
      <c r="BP422" s="419" t="s">
        <v>1765</v>
      </c>
      <c r="BQ422" s="419" t="s">
        <v>1269</v>
      </c>
      <c r="BR422" s="419"/>
      <c r="BS422" s="419"/>
      <c r="BT422" s="445"/>
      <c r="BU422" s="445"/>
      <c r="BV422" s="445"/>
      <c r="BW422" s="445" t="s">
        <v>2282</v>
      </c>
      <c r="BX422" s="445"/>
      <c r="BY422" s="445"/>
    </row>
    <row r="423" spans="1:77" ht="15">
      <c r="A423" s="370" t="s">
        <v>1269</v>
      </c>
      <c r="B423" s="415" t="s">
        <v>216</v>
      </c>
      <c r="C423" s="416" t="s">
        <v>1767</v>
      </c>
      <c r="D423" s="444">
        <v>0</v>
      </c>
      <c r="E423" s="415" t="s">
        <v>1716</v>
      </c>
      <c r="F423" s="444">
        <v>3</v>
      </c>
      <c r="G423" s="415" t="s">
        <v>1661</v>
      </c>
      <c r="H423" s="444">
        <v>58</v>
      </c>
      <c r="I423" s="417" t="s">
        <v>2007</v>
      </c>
      <c r="J423" s="444">
        <v>0.6</v>
      </c>
      <c r="K423" s="444">
        <v>38</v>
      </c>
      <c r="L423" s="444">
        <v>0</v>
      </c>
      <c r="M423" s="444">
        <v>6</v>
      </c>
      <c r="N423" s="444">
        <v>0</v>
      </c>
      <c r="O423" s="444">
        <v>0</v>
      </c>
      <c r="P423" s="444">
        <v>0</v>
      </c>
      <c r="Q423" s="444">
        <v>0</v>
      </c>
      <c r="R423" s="444">
        <v>1</v>
      </c>
      <c r="S423" s="444">
        <v>12</v>
      </c>
      <c r="T423" s="444">
        <v>1</v>
      </c>
      <c r="U423" s="444">
        <v>0</v>
      </c>
      <c r="V423" s="444">
        <v>0</v>
      </c>
      <c r="W423" s="444">
        <v>0</v>
      </c>
      <c r="X423" s="418"/>
      <c r="Y423" s="445"/>
      <c r="Z423" s="420"/>
      <c r="AA423" s="421">
        <v>60.518999999999998</v>
      </c>
      <c r="AB423" s="421">
        <v>29.978000000000002</v>
      </c>
      <c r="AC423" s="454">
        <v>1</v>
      </c>
      <c r="AE423" s="419" t="s">
        <v>2319</v>
      </c>
      <c r="AF423" s="454">
        <v>1</v>
      </c>
      <c r="AG423" s="441">
        <v>43101</v>
      </c>
      <c r="AJ423" s="442">
        <v>43252</v>
      </c>
      <c r="AL423" s="424" t="s">
        <v>1019</v>
      </c>
      <c r="AO423" s="445"/>
      <c r="AP423" s="454">
        <v>556702</v>
      </c>
      <c r="AQ423" s="443">
        <v>43234</v>
      </c>
      <c r="AT423" s="426"/>
      <c r="AU423" s="426"/>
      <c r="AV423" s="426"/>
      <c r="AY423" s="427" t="s">
        <v>1559</v>
      </c>
      <c r="AZ423" s="373"/>
      <c r="BB423" s="374" t="s">
        <v>2214</v>
      </c>
      <c r="BC423" s="445"/>
      <c r="BE423" s="448">
        <v>0</v>
      </c>
      <c r="BF423" s="449">
        <v>0</v>
      </c>
      <c r="BG423" s="428" t="s">
        <v>1764</v>
      </c>
      <c r="BH423" s="445"/>
      <c r="BI423" s="491"/>
      <c r="BJ423" s="491">
        <v>80</v>
      </c>
      <c r="BK423" s="445" t="s">
        <v>3001</v>
      </c>
      <c r="BL423" s="419" t="s">
        <v>3002</v>
      </c>
      <c r="BM423" s="445"/>
      <c r="BN423" s="419" t="s">
        <v>1765</v>
      </c>
      <c r="BO423" s="419" t="s">
        <v>1765</v>
      </c>
      <c r="BP423" s="419" t="s">
        <v>1765</v>
      </c>
      <c r="BQ423" s="419" t="s">
        <v>1269</v>
      </c>
      <c r="BR423" s="419"/>
      <c r="BS423" s="419"/>
      <c r="BT423" s="445"/>
      <c r="BU423" s="445"/>
      <c r="BV423" s="445"/>
      <c r="BW423" s="445" t="s">
        <v>2282</v>
      </c>
      <c r="BX423" s="445"/>
      <c r="BY423" s="445"/>
    </row>
    <row r="424" spans="1:77" ht="15">
      <c r="A424" s="370" t="s">
        <v>31</v>
      </c>
      <c r="B424" s="415" t="s">
        <v>216</v>
      </c>
      <c r="C424" s="416" t="s">
        <v>31</v>
      </c>
      <c r="D424" s="444">
        <v>0</v>
      </c>
      <c r="E424" s="415" t="s">
        <v>1716</v>
      </c>
      <c r="F424" s="444">
        <v>2</v>
      </c>
      <c r="G424" s="415" t="s">
        <v>1661</v>
      </c>
      <c r="H424" s="444">
        <v>86</v>
      </c>
      <c r="I424" s="417" t="s">
        <v>1423</v>
      </c>
      <c r="J424" s="444">
        <v>1</v>
      </c>
      <c r="K424" s="444">
        <v>484</v>
      </c>
      <c r="L424" s="444">
        <v>0</v>
      </c>
      <c r="M424" s="444">
        <v>115</v>
      </c>
      <c r="N424" s="444">
        <v>39</v>
      </c>
      <c r="O424" s="444">
        <v>0</v>
      </c>
      <c r="P424" s="444">
        <v>0</v>
      </c>
      <c r="Q424" s="444">
        <v>0</v>
      </c>
      <c r="R424" s="444">
        <v>12</v>
      </c>
      <c r="S424" s="444">
        <v>21</v>
      </c>
      <c r="T424" s="444">
        <v>32</v>
      </c>
      <c r="U424" s="444">
        <v>4</v>
      </c>
      <c r="V424" s="444">
        <v>14</v>
      </c>
      <c r="W424" s="444">
        <v>24</v>
      </c>
      <c r="X424" s="418"/>
      <c r="Y424" s="445"/>
      <c r="Z424" s="420"/>
      <c r="AA424" s="421">
        <v>71.944999999999993</v>
      </c>
      <c r="AB424" s="421">
        <v>38.070999999999998</v>
      </c>
      <c r="AC424" s="454">
        <v>25</v>
      </c>
      <c r="AE424" s="419" t="s">
        <v>2320</v>
      </c>
      <c r="AF424" s="454">
        <v>1</v>
      </c>
      <c r="AG424" s="441">
        <v>43101</v>
      </c>
      <c r="AJ424" s="442">
        <v>43252</v>
      </c>
      <c r="AL424" s="424" t="s">
        <v>929</v>
      </c>
      <c r="AO424" s="445"/>
      <c r="AP424" s="454">
        <v>556618</v>
      </c>
      <c r="AQ424" s="443" t="s">
        <v>1719</v>
      </c>
      <c r="AT424" s="426"/>
      <c r="AU424" s="426"/>
      <c r="AV424" s="426"/>
      <c r="AY424" s="427" t="s">
        <v>1559</v>
      </c>
      <c r="AZ424" s="373"/>
      <c r="BB424" s="374" t="s">
        <v>2214</v>
      </c>
      <c r="BC424" s="445"/>
      <c r="BE424" s="448">
        <v>5</v>
      </c>
      <c r="BF424" s="449">
        <v>40</v>
      </c>
      <c r="BG424" s="428" t="s">
        <v>1764</v>
      </c>
      <c r="BH424" s="445"/>
      <c r="BI424" s="491"/>
      <c r="BJ424" s="491">
        <v>23</v>
      </c>
      <c r="BK424" s="445" t="s">
        <v>1891</v>
      </c>
      <c r="BL424" s="419" t="s">
        <v>2677</v>
      </c>
      <c r="BM424" s="445"/>
      <c r="BN424" s="419" t="s">
        <v>1765</v>
      </c>
      <c r="BO424" s="419" t="s">
        <v>1765</v>
      </c>
      <c r="BP424" s="419" t="s">
        <v>1765</v>
      </c>
      <c r="BQ424" s="419" t="s">
        <v>31</v>
      </c>
      <c r="BR424" s="419"/>
      <c r="BS424" s="419"/>
      <c r="BT424" s="445"/>
      <c r="BU424" s="445"/>
      <c r="BV424" s="445"/>
      <c r="BW424" s="445" t="s">
        <v>2282</v>
      </c>
      <c r="BX424" s="445"/>
      <c r="BY424" s="445"/>
    </row>
    <row r="425" spans="1:77" ht="15">
      <c r="A425" s="370" t="s">
        <v>31</v>
      </c>
      <c r="B425" s="415" t="s">
        <v>216</v>
      </c>
      <c r="C425" s="416" t="s">
        <v>31</v>
      </c>
      <c r="D425" s="444">
        <v>0</v>
      </c>
      <c r="E425" s="415" t="s">
        <v>1716</v>
      </c>
      <c r="F425" s="444">
        <v>2</v>
      </c>
      <c r="G425" s="415" t="s">
        <v>1661</v>
      </c>
      <c r="H425" s="444">
        <v>20</v>
      </c>
      <c r="I425" s="417" t="s">
        <v>1423</v>
      </c>
      <c r="J425" s="444">
        <v>1.6</v>
      </c>
      <c r="K425" s="444">
        <v>627</v>
      </c>
      <c r="L425" s="444">
        <v>0</v>
      </c>
      <c r="M425" s="444">
        <v>18</v>
      </c>
      <c r="N425" s="444">
        <v>174</v>
      </c>
      <c r="O425" s="444">
        <v>0</v>
      </c>
      <c r="P425" s="444">
        <v>0</v>
      </c>
      <c r="Q425" s="444">
        <v>14</v>
      </c>
      <c r="R425" s="444">
        <v>20</v>
      </c>
      <c r="S425" s="444">
        <v>25</v>
      </c>
      <c r="T425" s="444">
        <v>99</v>
      </c>
      <c r="U425" s="444">
        <v>6</v>
      </c>
      <c r="V425" s="444">
        <v>21</v>
      </c>
      <c r="W425" s="444">
        <v>68</v>
      </c>
      <c r="X425" s="418"/>
      <c r="Y425" s="445"/>
      <c r="Z425" s="420"/>
      <c r="AA425" s="421">
        <v>75.989999999999995</v>
      </c>
      <c r="AB425" s="421">
        <v>35.905000000000001</v>
      </c>
      <c r="AC425" s="454">
        <v>0</v>
      </c>
      <c r="AE425" s="419" t="s">
        <v>2321</v>
      </c>
      <c r="AF425" s="454">
        <v>1</v>
      </c>
      <c r="AG425" s="441">
        <v>43101</v>
      </c>
      <c r="AJ425" s="442">
        <v>43252</v>
      </c>
      <c r="AL425" s="424" t="s">
        <v>929</v>
      </c>
      <c r="AO425" s="445"/>
      <c r="AP425" s="454">
        <v>556618</v>
      </c>
      <c r="AQ425" s="443" t="s">
        <v>1719</v>
      </c>
      <c r="AT425" s="426"/>
      <c r="AU425" s="426"/>
      <c r="AV425" s="426"/>
      <c r="AY425" s="427" t="s">
        <v>1559</v>
      </c>
      <c r="AZ425" s="373"/>
      <c r="BB425" s="374" t="s">
        <v>2214</v>
      </c>
      <c r="BC425" s="445"/>
      <c r="BE425" s="448">
        <v>5</v>
      </c>
      <c r="BF425" s="449">
        <v>40</v>
      </c>
      <c r="BG425" s="428" t="s">
        <v>1764</v>
      </c>
      <c r="BH425" s="445"/>
      <c r="BI425" s="491"/>
      <c r="BJ425" s="491">
        <v>32</v>
      </c>
      <c r="BK425" s="445" t="s">
        <v>1895</v>
      </c>
      <c r="BL425" s="419" t="s">
        <v>2679</v>
      </c>
      <c r="BM425" s="445"/>
      <c r="BN425" s="419" t="s">
        <v>1765</v>
      </c>
      <c r="BO425" s="419" t="s">
        <v>1765</v>
      </c>
      <c r="BP425" s="419" t="s">
        <v>1765</v>
      </c>
      <c r="BQ425" s="419" t="s">
        <v>31</v>
      </c>
      <c r="BR425" s="419"/>
      <c r="BS425" s="419"/>
      <c r="BT425" s="445"/>
      <c r="BU425" s="445"/>
      <c r="BV425" s="445"/>
      <c r="BW425" s="445" t="s">
        <v>2282</v>
      </c>
      <c r="BX425" s="445"/>
      <c r="BY425" s="445"/>
    </row>
    <row r="426" spans="1:77" ht="15">
      <c r="A426" s="370" t="s">
        <v>31</v>
      </c>
      <c r="B426" s="415" t="s">
        <v>216</v>
      </c>
      <c r="C426" s="416" t="s">
        <v>31</v>
      </c>
      <c r="D426" s="444">
        <v>0</v>
      </c>
      <c r="E426" s="415" t="s">
        <v>1716</v>
      </c>
      <c r="F426" s="444">
        <v>2</v>
      </c>
      <c r="G426" s="415" t="s">
        <v>1661</v>
      </c>
      <c r="H426" s="444">
        <v>11</v>
      </c>
      <c r="I426" s="417" t="s">
        <v>1683</v>
      </c>
      <c r="J426" s="444">
        <v>2.8</v>
      </c>
      <c r="K426" s="444">
        <v>852</v>
      </c>
      <c r="L426" s="444">
        <v>0</v>
      </c>
      <c r="M426" s="444">
        <v>23</v>
      </c>
      <c r="N426" s="444">
        <v>233</v>
      </c>
      <c r="O426" s="444">
        <v>0</v>
      </c>
      <c r="P426" s="444">
        <v>0</v>
      </c>
      <c r="Q426" s="444">
        <v>14</v>
      </c>
      <c r="R426" s="444">
        <v>50</v>
      </c>
      <c r="S426" s="444">
        <v>22</v>
      </c>
      <c r="T426" s="444">
        <v>128</v>
      </c>
      <c r="U426" s="444">
        <v>17</v>
      </c>
      <c r="V426" s="444">
        <v>18</v>
      </c>
      <c r="W426" s="444">
        <v>89</v>
      </c>
      <c r="X426" s="418"/>
      <c r="Y426" s="445"/>
      <c r="Z426" s="420"/>
      <c r="AA426" s="421">
        <v>83.266999999999996</v>
      </c>
      <c r="AB426" s="421">
        <v>37.097000000000001</v>
      </c>
      <c r="AC426" s="454">
        <v>46</v>
      </c>
      <c r="AE426" s="419" t="s">
        <v>2322</v>
      </c>
      <c r="AF426" s="454">
        <v>1</v>
      </c>
      <c r="AG426" s="441">
        <v>43101</v>
      </c>
      <c r="AJ426" s="442">
        <v>43252</v>
      </c>
      <c r="AL426" s="424" t="s">
        <v>929</v>
      </c>
      <c r="AO426" s="445"/>
      <c r="AP426" s="454">
        <v>556618</v>
      </c>
      <c r="AQ426" s="443">
        <v>43077</v>
      </c>
      <c r="AT426" s="426"/>
      <c r="AU426" s="426"/>
      <c r="AV426" s="426"/>
      <c r="AY426" s="427" t="s">
        <v>1559</v>
      </c>
      <c r="AZ426" s="373"/>
      <c r="BB426" s="374" t="s">
        <v>2214</v>
      </c>
      <c r="BC426" s="445"/>
      <c r="BE426" s="448">
        <v>10</v>
      </c>
      <c r="BF426" s="449">
        <v>40</v>
      </c>
      <c r="BG426" s="428" t="s">
        <v>1764</v>
      </c>
      <c r="BH426" s="445"/>
      <c r="BI426" s="491"/>
      <c r="BJ426" s="491">
        <v>55</v>
      </c>
      <c r="BK426" s="445" t="s">
        <v>3060</v>
      </c>
      <c r="BL426" s="419" t="s">
        <v>3061</v>
      </c>
      <c r="BM426" s="445"/>
      <c r="BN426" s="419" t="s">
        <v>1765</v>
      </c>
      <c r="BO426" s="419" t="s">
        <v>1765</v>
      </c>
      <c r="BP426" s="419" t="s">
        <v>1765</v>
      </c>
      <c r="BQ426" s="419" t="s">
        <v>31</v>
      </c>
      <c r="BR426" s="419"/>
      <c r="BS426" s="419"/>
      <c r="BT426" s="445"/>
      <c r="BU426" s="445"/>
      <c r="BV426" s="445"/>
      <c r="BW426" s="445" t="s">
        <v>2282</v>
      </c>
      <c r="BX426" s="445"/>
      <c r="BY426" s="445"/>
    </row>
    <row r="427" spans="1:77" ht="15">
      <c r="A427" s="370" t="s">
        <v>31</v>
      </c>
      <c r="B427" s="415" t="s">
        <v>216</v>
      </c>
      <c r="C427" s="416" t="s">
        <v>31</v>
      </c>
      <c r="D427" s="444">
        <v>0</v>
      </c>
      <c r="E427" s="415" t="s">
        <v>1716</v>
      </c>
      <c r="F427" s="444">
        <v>5</v>
      </c>
      <c r="G427" s="415" t="s">
        <v>1661</v>
      </c>
      <c r="H427" s="444">
        <v>136</v>
      </c>
      <c r="I427" s="417" t="s">
        <v>2207</v>
      </c>
      <c r="J427" s="444">
        <v>2.5</v>
      </c>
      <c r="K427" s="444">
        <v>1544</v>
      </c>
      <c r="L427" s="444">
        <v>0</v>
      </c>
      <c r="M427" s="444">
        <v>0</v>
      </c>
      <c r="N427" s="444">
        <v>2</v>
      </c>
      <c r="O427" s="444">
        <v>0</v>
      </c>
      <c r="P427" s="444">
        <v>0</v>
      </c>
      <c r="Q427" s="444">
        <v>0</v>
      </c>
      <c r="R427" s="444">
        <v>0</v>
      </c>
      <c r="S427" s="444">
        <v>2</v>
      </c>
      <c r="T427" s="444">
        <v>153</v>
      </c>
      <c r="U427" s="444">
        <v>0</v>
      </c>
      <c r="V427" s="444">
        <v>4</v>
      </c>
      <c r="W427" s="444">
        <v>276</v>
      </c>
      <c r="X427" s="418"/>
      <c r="Y427" s="445"/>
      <c r="Z427" s="420"/>
      <c r="AA427" s="421">
        <v>145.74100000000001</v>
      </c>
      <c r="AB427" s="421">
        <v>42.738999999999997</v>
      </c>
      <c r="AC427" s="454">
        <v>57</v>
      </c>
      <c r="AE427" s="419" t="s">
        <v>2323</v>
      </c>
      <c r="AF427" s="454">
        <v>1</v>
      </c>
      <c r="AG427" s="441">
        <v>43101</v>
      </c>
      <c r="AJ427" s="442">
        <v>43252</v>
      </c>
      <c r="AL427" s="424" t="s">
        <v>1019</v>
      </c>
      <c r="AO427" s="445"/>
      <c r="AP427" s="454">
        <v>556618</v>
      </c>
      <c r="AQ427" s="443">
        <v>43077</v>
      </c>
      <c r="AT427" s="426"/>
      <c r="AU427" s="426"/>
      <c r="AV427" s="426"/>
      <c r="AY427" s="427" t="s">
        <v>1559</v>
      </c>
      <c r="AZ427" s="373"/>
      <c r="BB427" s="374" t="s">
        <v>2214</v>
      </c>
      <c r="BC427" s="445"/>
      <c r="BE427" s="448">
        <v>5</v>
      </c>
      <c r="BF427" s="449">
        <v>20</v>
      </c>
      <c r="BG427" s="428" t="s">
        <v>1764</v>
      </c>
      <c r="BH427" s="445"/>
      <c r="BI427" s="491"/>
      <c r="BJ427" s="491">
        <v>57</v>
      </c>
      <c r="BK427" s="445" t="s">
        <v>3062</v>
      </c>
      <c r="BL427" s="419" t="s">
        <v>3063</v>
      </c>
      <c r="BM427" s="445"/>
      <c r="BN427" s="419" t="s">
        <v>1766</v>
      </c>
      <c r="BO427" s="419" t="s">
        <v>1766</v>
      </c>
      <c r="BP427" s="419" t="s">
        <v>1766</v>
      </c>
      <c r="BQ427" s="419" t="s">
        <v>31</v>
      </c>
      <c r="BR427" s="419"/>
      <c r="BS427" s="419"/>
      <c r="BT427" s="445"/>
      <c r="BU427" s="445"/>
      <c r="BV427" s="445"/>
      <c r="BW427" s="445" t="s">
        <v>2282</v>
      </c>
      <c r="BX427" s="445"/>
      <c r="BY427" s="445"/>
    </row>
    <row r="428" spans="1:77" ht="15">
      <c r="A428" s="370" t="s">
        <v>31</v>
      </c>
      <c r="B428" s="415" t="s">
        <v>216</v>
      </c>
      <c r="C428" s="416" t="s">
        <v>31</v>
      </c>
      <c r="D428" s="444">
        <v>0</v>
      </c>
      <c r="E428" s="415" t="s">
        <v>1716</v>
      </c>
      <c r="F428" s="444">
        <v>3</v>
      </c>
      <c r="G428" s="415" t="s">
        <v>1661</v>
      </c>
      <c r="H428" s="444">
        <v>85</v>
      </c>
      <c r="I428" s="417" t="s">
        <v>1715</v>
      </c>
      <c r="J428" s="444">
        <v>3</v>
      </c>
      <c r="K428" s="444">
        <v>1386</v>
      </c>
      <c r="L428" s="444">
        <v>0</v>
      </c>
      <c r="M428" s="444">
        <v>298</v>
      </c>
      <c r="N428" s="444">
        <v>12</v>
      </c>
      <c r="O428" s="444">
        <v>0</v>
      </c>
      <c r="P428" s="444">
        <v>0</v>
      </c>
      <c r="Q428" s="444">
        <v>0</v>
      </c>
      <c r="R428" s="444">
        <v>0</v>
      </c>
      <c r="S428" s="444">
        <v>94</v>
      </c>
      <c r="T428" s="444">
        <v>130</v>
      </c>
      <c r="U428" s="444">
        <v>0</v>
      </c>
      <c r="V428" s="444">
        <v>65</v>
      </c>
      <c r="W428" s="444">
        <v>94</v>
      </c>
      <c r="X428" s="418"/>
      <c r="Y428" s="445"/>
      <c r="Z428" s="420"/>
      <c r="AA428" s="421">
        <v>85.484999999999999</v>
      </c>
      <c r="AB428" s="421">
        <v>42.780999999999999</v>
      </c>
      <c r="AC428" s="454">
        <v>67</v>
      </c>
      <c r="AE428" s="419" t="s">
        <v>2243</v>
      </c>
      <c r="AF428" s="454">
        <v>1</v>
      </c>
      <c r="AG428" s="441">
        <v>43101</v>
      </c>
      <c r="AJ428" s="442">
        <v>43252</v>
      </c>
      <c r="AL428" s="424" t="s">
        <v>929</v>
      </c>
      <c r="AO428" s="445"/>
      <c r="AP428" s="454">
        <v>556618</v>
      </c>
      <c r="AQ428" s="443" t="s">
        <v>1719</v>
      </c>
      <c r="AT428" s="426"/>
      <c r="AU428" s="426"/>
      <c r="AV428" s="426"/>
      <c r="AY428" s="427" t="s">
        <v>1559</v>
      </c>
      <c r="AZ428" s="373"/>
      <c r="BB428" s="374" t="s">
        <v>2214</v>
      </c>
      <c r="BC428" s="445"/>
      <c r="BE428" s="448">
        <v>5</v>
      </c>
      <c r="BF428" s="449">
        <v>40</v>
      </c>
      <c r="BG428" s="428" t="s">
        <v>1764</v>
      </c>
      <c r="BH428" s="445"/>
      <c r="BI428" s="491"/>
      <c r="BJ428" s="491">
        <v>12</v>
      </c>
      <c r="BK428" s="445" t="s">
        <v>1815</v>
      </c>
      <c r="BL428" s="419" t="s">
        <v>2636</v>
      </c>
      <c r="BM428" s="445"/>
      <c r="BN428" s="419" t="s">
        <v>1765</v>
      </c>
      <c r="BO428" s="419" t="s">
        <v>1765</v>
      </c>
      <c r="BP428" s="419" t="s">
        <v>1765</v>
      </c>
      <c r="BQ428" s="419" t="s">
        <v>31</v>
      </c>
      <c r="BR428" s="419"/>
      <c r="BS428" s="419"/>
      <c r="BT428" s="445"/>
      <c r="BU428" s="445"/>
      <c r="BV428" s="445"/>
      <c r="BW428" s="445" t="s">
        <v>2282</v>
      </c>
      <c r="BX428" s="445"/>
      <c r="BY428" s="445"/>
    </row>
    <row r="429" spans="1:77" ht="15">
      <c r="A429" s="370" t="s">
        <v>31</v>
      </c>
      <c r="B429" s="415" t="s">
        <v>132</v>
      </c>
      <c r="C429" s="416" t="s">
        <v>31</v>
      </c>
      <c r="D429" s="444">
        <v>0</v>
      </c>
      <c r="E429" s="415" t="s">
        <v>1716</v>
      </c>
      <c r="F429" s="444">
        <v>2</v>
      </c>
      <c r="G429" s="415" t="s">
        <v>1661</v>
      </c>
      <c r="H429" s="444">
        <v>51</v>
      </c>
      <c r="I429" s="417" t="s">
        <v>1632</v>
      </c>
      <c r="J429" s="444">
        <v>3.6</v>
      </c>
      <c r="K429" s="444">
        <v>1577</v>
      </c>
      <c r="L429" s="444">
        <v>0</v>
      </c>
      <c r="M429" s="444">
        <v>5</v>
      </c>
      <c r="N429" s="444">
        <v>465</v>
      </c>
      <c r="O429" s="444">
        <v>0</v>
      </c>
      <c r="P429" s="444">
        <v>0</v>
      </c>
      <c r="Q429" s="444">
        <v>22</v>
      </c>
      <c r="R429" s="444">
        <v>7</v>
      </c>
      <c r="S429" s="444">
        <v>108</v>
      </c>
      <c r="T429" s="444">
        <v>214</v>
      </c>
      <c r="U429" s="444">
        <v>2</v>
      </c>
      <c r="V429" s="444">
        <v>89</v>
      </c>
      <c r="W429" s="444">
        <v>145</v>
      </c>
      <c r="X429" s="418"/>
      <c r="Y429" s="445"/>
      <c r="Z429" s="420"/>
      <c r="AA429" s="421">
        <v>72.206999999999994</v>
      </c>
      <c r="AB429" s="421">
        <v>34.387999999999998</v>
      </c>
      <c r="AC429" s="454">
        <v>73</v>
      </c>
      <c r="AE429" s="419" t="s">
        <v>2324</v>
      </c>
      <c r="AF429" s="454">
        <v>1</v>
      </c>
      <c r="AG429" s="441">
        <v>43101</v>
      </c>
      <c r="AJ429" s="442">
        <v>43263</v>
      </c>
      <c r="AL429" s="424" t="s">
        <v>888</v>
      </c>
      <c r="AO429" s="445"/>
      <c r="AP429" s="454">
        <v>556617</v>
      </c>
      <c r="AQ429" s="443" t="s">
        <v>1719</v>
      </c>
      <c r="AT429" s="426"/>
      <c r="AU429" s="426"/>
      <c r="AV429" s="426"/>
      <c r="AY429" s="427" t="s">
        <v>1559</v>
      </c>
      <c r="AZ429" s="373"/>
      <c r="BB429" s="374" t="s">
        <v>2214</v>
      </c>
      <c r="BC429" s="445"/>
      <c r="BE429" s="448">
        <v>5</v>
      </c>
      <c r="BF429" s="449">
        <v>40</v>
      </c>
      <c r="BG429" s="428" t="s">
        <v>1764</v>
      </c>
      <c r="BH429" s="445"/>
      <c r="BI429" s="491"/>
      <c r="BJ429" s="491">
        <v>30</v>
      </c>
      <c r="BK429" s="445" t="s">
        <v>3068</v>
      </c>
      <c r="BL429" s="419" t="s">
        <v>3125</v>
      </c>
      <c r="BM429" s="445"/>
      <c r="BN429" s="419" t="s">
        <v>1765</v>
      </c>
      <c r="BO429" s="419" t="s">
        <v>1765</v>
      </c>
      <c r="BP429" s="419" t="s">
        <v>1765</v>
      </c>
      <c r="BQ429" s="419" t="s">
        <v>31</v>
      </c>
      <c r="BR429" s="419"/>
      <c r="BS429" s="419"/>
      <c r="BT429" s="445"/>
      <c r="BU429" s="445"/>
      <c r="BV429" s="445"/>
      <c r="BW429" s="445" t="s">
        <v>2325</v>
      </c>
      <c r="BX429" s="445"/>
      <c r="BY429" s="445"/>
    </row>
    <row r="430" spans="1:77" ht="15">
      <c r="A430" s="370" t="s">
        <v>31</v>
      </c>
      <c r="B430" s="415" t="s">
        <v>216</v>
      </c>
      <c r="C430" s="416" t="s">
        <v>31</v>
      </c>
      <c r="D430" s="444">
        <v>0</v>
      </c>
      <c r="E430" s="415" t="s">
        <v>1716</v>
      </c>
      <c r="F430" s="444">
        <v>2</v>
      </c>
      <c r="G430" s="415" t="s">
        <v>1661</v>
      </c>
      <c r="H430" s="444">
        <v>110</v>
      </c>
      <c r="I430" s="417" t="s">
        <v>1768</v>
      </c>
      <c r="J430" s="444">
        <v>0.9</v>
      </c>
      <c r="K430" s="444">
        <v>337</v>
      </c>
      <c r="L430" s="444">
        <v>0</v>
      </c>
      <c r="M430" s="444">
        <v>6</v>
      </c>
      <c r="N430" s="444">
        <v>107</v>
      </c>
      <c r="O430" s="444">
        <v>0</v>
      </c>
      <c r="P430" s="444">
        <v>0</v>
      </c>
      <c r="Q430" s="444">
        <v>4</v>
      </c>
      <c r="R430" s="444">
        <v>8</v>
      </c>
      <c r="S430" s="444">
        <v>7</v>
      </c>
      <c r="T430" s="444">
        <v>58</v>
      </c>
      <c r="U430" s="444">
        <v>2</v>
      </c>
      <c r="V430" s="444">
        <v>6</v>
      </c>
      <c r="W430" s="444">
        <v>40</v>
      </c>
      <c r="X430" s="418"/>
      <c r="Y430" s="445"/>
      <c r="Z430" s="420"/>
      <c r="AA430" s="421">
        <v>76.096000000000004</v>
      </c>
      <c r="AB430" s="421">
        <v>36.359000000000002</v>
      </c>
      <c r="AC430" s="454">
        <v>16</v>
      </c>
      <c r="AE430" s="419" t="s">
        <v>2326</v>
      </c>
      <c r="AF430" s="454">
        <v>1</v>
      </c>
      <c r="AG430" s="441">
        <v>43101</v>
      </c>
      <c r="AJ430" s="442">
        <v>43263</v>
      </c>
      <c r="AL430" s="424" t="s">
        <v>929</v>
      </c>
      <c r="AO430" s="445"/>
      <c r="AP430" s="454">
        <v>556618</v>
      </c>
      <c r="AQ430" s="443" t="s">
        <v>1719</v>
      </c>
      <c r="AT430" s="426"/>
      <c r="AU430" s="426"/>
      <c r="AV430" s="426"/>
      <c r="AY430" s="427" t="s">
        <v>1559</v>
      </c>
      <c r="AZ430" s="373"/>
      <c r="BB430" s="374" t="s">
        <v>2214</v>
      </c>
      <c r="BC430" s="445"/>
      <c r="BE430" s="448">
        <v>5</v>
      </c>
      <c r="BF430" s="449">
        <v>40</v>
      </c>
      <c r="BG430" s="428" t="s">
        <v>1764</v>
      </c>
      <c r="BH430" s="445"/>
      <c r="BI430" s="491"/>
      <c r="BJ430" s="491">
        <v>58</v>
      </c>
      <c r="BK430" s="445" t="s">
        <v>258</v>
      </c>
      <c r="BL430" s="419" t="s">
        <v>3126</v>
      </c>
      <c r="BM430" s="445"/>
      <c r="BN430" s="419" t="s">
        <v>1765</v>
      </c>
      <c r="BO430" s="419" t="s">
        <v>1765</v>
      </c>
      <c r="BP430" s="419" t="s">
        <v>1765</v>
      </c>
      <c r="BQ430" s="419" t="s">
        <v>31</v>
      </c>
      <c r="BR430" s="419"/>
      <c r="BS430" s="419"/>
      <c r="BT430" s="445"/>
      <c r="BU430" s="445"/>
      <c r="BV430" s="445"/>
      <c r="BW430" s="445" t="s">
        <v>2327</v>
      </c>
      <c r="BX430" s="445"/>
      <c r="BY430" s="445"/>
    </row>
    <row r="431" spans="1:77" ht="15">
      <c r="A431" s="370" t="s">
        <v>1269</v>
      </c>
      <c r="B431" s="415" t="s">
        <v>19</v>
      </c>
      <c r="C431" s="416" t="s">
        <v>1682</v>
      </c>
      <c r="D431" s="444">
        <v>0</v>
      </c>
      <c r="E431" s="415" t="s">
        <v>1718</v>
      </c>
      <c r="F431" s="444">
        <v>3</v>
      </c>
      <c r="G431" s="415" t="s">
        <v>1750</v>
      </c>
      <c r="H431" s="444">
        <v>19</v>
      </c>
      <c r="I431" s="417" t="s">
        <v>1687</v>
      </c>
      <c r="J431" s="444">
        <v>4.0999999999999996</v>
      </c>
      <c r="K431" s="444">
        <v>464</v>
      </c>
      <c r="L431" s="444"/>
      <c r="M431" s="444">
        <v>0</v>
      </c>
      <c r="N431" s="444">
        <v>0</v>
      </c>
      <c r="O431" s="444"/>
      <c r="P431" s="444"/>
      <c r="Q431" s="444"/>
      <c r="R431" s="444">
        <v>0</v>
      </c>
      <c r="S431" s="444">
        <v>0</v>
      </c>
      <c r="T431" s="444">
        <v>0</v>
      </c>
      <c r="U431" s="444"/>
      <c r="V431" s="444">
        <v>0</v>
      </c>
      <c r="W431" s="444">
        <v>65</v>
      </c>
      <c r="X431" s="418"/>
      <c r="Y431" s="445"/>
      <c r="Z431" s="420"/>
      <c r="AA431" s="421">
        <v>130.20400000000001</v>
      </c>
      <c r="AB431" s="421"/>
      <c r="AC431" s="454">
        <v>16</v>
      </c>
      <c r="AE431" s="419" t="s">
        <v>2328</v>
      </c>
      <c r="AF431" s="454">
        <v>1</v>
      </c>
      <c r="AG431" s="441">
        <v>43101</v>
      </c>
      <c r="AJ431" s="442">
        <v>43252</v>
      </c>
      <c r="AL431" s="424" t="s">
        <v>999</v>
      </c>
      <c r="AO431" s="445"/>
      <c r="AP431" s="454">
        <v>556644</v>
      </c>
      <c r="AQ431" s="443">
        <v>43122</v>
      </c>
      <c r="AT431" s="426"/>
      <c r="AU431" s="426"/>
      <c r="AV431" s="426"/>
      <c r="AY431" s="427" t="s">
        <v>1559</v>
      </c>
      <c r="AZ431" s="373"/>
      <c r="BB431" s="374" t="s">
        <v>2214</v>
      </c>
      <c r="BC431" s="445"/>
      <c r="BE431" s="448"/>
      <c r="BF431" s="449"/>
      <c r="BG431" s="428"/>
      <c r="BH431" s="445"/>
      <c r="BI431" s="491"/>
      <c r="BJ431" s="491">
        <v>39</v>
      </c>
      <c r="BK431" s="445" t="s">
        <v>1873</v>
      </c>
      <c r="BL431" s="419" t="s">
        <v>2667</v>
      </c>
      <c r="BM431" s="445"/>
      <c r="BN431" s="419"/>
      <c r="BO431" s="419"/>
      <c r="BP431" s="419"/>
      <c r="BQ431" s="419" t="s">
        <v>1269</v>
      </c>
      <c r="BR431" s="419"/>
      <c r="BS431" s="419"/>
      <c r="BT431" s="445"/>
      <c r="BU431" s="445"/>
      <c r="BV431" s="445"/>
      <c r="BW431" s="445" t="s">
        <v>2327</v>
      </c>
      <c r="BX431" s="445"/>
      <c r="BY431" s="445"/>
    </row>
    <row r="432" spans="1:77" ht="15">
      <c r="A432" s="370" t="s">
        <v>1269</v>
      </c>
      <c r="B432" s="415" t="s">
        <v>19</v>
      </c>
      <c r="C432" s="416" t="s">
        <v>1682</v>
      </c>
      <c r="D432" s="444">
        <v>0</v>
      </c>
      <c r="E432" s="415" t="s">
        <v>1718</v>
      </c>
      <c r="F432" s="444">
        <v>3</v>
      </c>
      <c r="G432" s="415" t="s">
        <v>1750</v>
      </c>
      <c r="H432" s="444">
        <v>125</v>
      </c>
      <c r="I432" s="417" t="s">
        <v>1632</v>
      </c>
      <c r="J432" s="444">
        <v>2.7</v>
      </c>
      <c r="K432" s="444">
        <v>289</v>
      </c>
      <c r="L432" s="444"/>
      <c r="M432" s="444">
        <v>0</v>
      </c>
      <c r="N432" s="444">
        <v>0</v>
      </c>
      <c r="O432" s="444"/>
      <c r="P432" s="444"/>
      <c r="Q432" s="444"/>
      <c r="R432" s="444">
        <v>0</v>
      </c>
      <c r="S432" s="444">
        <v>0</v>
      </c>
      <c r="T432" s="444">
        <v>0</v>
      </c>
      <c r="U432" s="444"/>
      <c r="V432" s="444">
        <v>0</v>
      </c>
      <c r="W432" s="444">
        <v>67</v>
      </c>
      <c r="X432" s="418"/>
      <c r="Y432" s="445"/>
      <c r="Z432" s="420"/>
      <c r="AA432" s="421">
        <v>99.197000000000003</v>
      </c>
      <c r="AB432" s="421"/>
      <c r="AC432" s="454">
        <v>11</v>
      </c>
      <c r="AE432" s="419" t="s">
        <v>2329</v>
      </c>
      <c r="AF432" s="454">
        <v>1</v>
      </c>
      <c r="AG432" s="441">
        <v>43101</v>
      </c>
      <c r="AJ432" s="442">
        <v>43270</v>
      </c>
      <c r="AL432" s="424" t="s">
        <v>1001</v>
      </c>
      <c r="AO432" s="445"/>
      <c r="AP432" s="454">
        <v>556709</v>
      </c>
      <c r="AQ432" s="443">
        <v>43270</v>
      </c>
      <c r="AT432" s="426"/>
      <c r="AU432" s="426"/>
      <c r="AV432" s="426"/>
      <c r="AY432" s="427" t="s">
        <v>1559</v>
      </c>
      <c r="AZ432" s="373"/>
      <c r="BB432" s="374" t="s">
        <v>2214</v>
      </c>
      <c r="BC432" s="445"/>
      <c r="BE432" s="448"/>
      <c r="BF432" s="449"/>
      <c r="BG432" s="428"/>
      <c r="BH432" s="445"/>
      <c r="BI432" s="491"/>
      <c r="BJ432" s="491">
        <v>33</v>
      </c>
      <c r="BK432" s="445" t="s">
        <v>3127</v>
      </c>
      <c r="BL432" s="419" t="s">
        <v>3128</v>
      </c>
      <c r="BM432" s="445"/>
      <c r="BN432" s="419"/>
      <c r="BO432" s="419"/>
      <c r="BP432" s="419"/>
      <c r="BQ432" s="419" t="s">
        <v>1269</v>
      </c>
      <c r="BR432" s="419"/>
      <c r="BS432" s="419"/>
      <c r="BT432" s="445"/>
      <c r="BU432" s="445"/>
      <c r="BV432" s="445"/>
      <c r="BW432" s="445" t="s">
        <v>2327</v>
      </c>
      <c r="BX432" s="445"/>
      <c r="BY432" s="445"/>
    </row>
    <row r="433" spans="1:77" ht="15">
      <c r="A433" s="370" t="s">
        <v>1269</v>
      </c>
      <c r="B433" s="415" t="s">
        <v>19</v>
      </c>
      <c r="C433" s="416" t="s">
        <v>1682</v>
      </c>
      <c r="D433" s="444">
        <v>0</v>
      </c>
      <c r="E433" s="415" t="s">
        <v>1718</v>
      </c>
      <c r="F433" s="444">
        <v>3</v>
      </c>
      <c r="G433" s="415" t="s">
        <v>1750</v>
      </c>
      <c r="H433" s="444">
        <v>19</v>
      </c>
      <c r="I433" s="417" t="s">
        <v>1664</v>
      </c>
      <c r="J433" s="444">
        <v>0.9</v>
      </c>
      <c r="K433" s="444">
        <v>150</v>
      </c>
      <c r="L433" s="444"/>
      <c r="M433" s="444">
        <v>0</v>
      </c>
      <c r="N433" s="444">
        <v>3</v>
      </c>
      <c r="O433" s="444"/>
      <c r="P433" s="444"/>
      <c r="Q433" s="444"/>
      <c r="R433" s="444">
        <v>0</v>
      </c>
      <c r="S433" s="444">
        <v>0</v>
      </c>
      <c r="T433" s="444">
        <v>0</v>
      </c>
      <c r="U433" s="444"/>
      <c r="V433" s="444">
        <v>0</v>
      </c>
      <c r="W433" s="444">
        <v>29</v>
      </c>
      <c r="X433" s="418"/>
      <c r="Y433" s="445"/>
      <c r="Z433" s="420"/>
      <c r="AA433" s="421">
        <v>99.307000000000002</v>
      </c>
      <c r="AB433" s="421"/>
      <c r="AC433" s="454">
        <v>3</v>
      </c>
      <c r="AE433" s="419" t="s">
        <v>2330</v>
      </c>
      <c r="AF433" s="454">
        <v>1</v>
      </c>
      <c r="AG433" s="441">
        <v>43101</v>
      </c>
      <c r="AJ433" s="442">
        <v>43270</v>
      </c>
      <c r="AL433" s="424" t="s">
        <v>1001</v>
      </c>
      <c r="AO433" s="445"/>
      <c r="AP433" s="454">
        <v>556709</v>
      </c>
      <c r="AQ433" s="443">
        <v>43270</v>
      </c>
      <c r="AT433" s="426"/>
      <c r="AU433" s="426"/>
      <c r="AV433" s="426"/>
      <c r="AY433" s="427" t="s">
        <v>1559</v>
      </c>
      <c r="AZ433" s="373"/>
      <c r="BB433" s="374" t="s">
        <v>2214</v>
      </c>
      <c r="BC433" s="445"/>
      <c r="BE433" s="448"/>
      <c r="BF433" s="449"/>
      <c r="BG433" s="428"/>
      <c r="BH433" s="445"/>
      <c r="BI433" s="491"/>
      <c r="BJ433" s="491">
        <v>30</v>
      </c>
      <c r="BK433" s="445" t="s">
        <v>3129</v>
      </c>
      <c r="BL433" s="419" t="s">
        <v>3130</v>
      </c>
      <c r="BM433" s="445"/>
      <c r="BN433" s="419"/>
      <c r="BO433" s="419"/>
      <c r="BP433" s="419"/>
      <c r="BQ433" s="419" t="s">
        <v>1269</v>
      </c>
      <c r="BR433" s="419"/>
      <c r="BS433" s="419"/>
      <c r="BT433" s="445"/>
      <c r="BU433" s="445"/>
      <c r="BV433" s="445"/>
      <c r="BW433" s="445" t="s">
        <v>2327</v>
      </c>
      <c r="BX433" s="445"/>
      <c r="BY433" s="445"/>
    </row>
    <row r="434" spans="1:77" ht="15">
      <c r="A434" s="370" t="s">
        <v>31</v>
      </c>
      <c r="B434" s="415" t="s">
        <v>216</v>
      </c>
      <c r="C434" s="416" t="s">
        <v>31</v>
      </c>
      <c r="D434" s="444">
        <v>0</v>
      </c>
      <c r="E434" s="415" t="s">
        <v>1716</v>
      </c>
      <c r="F434" s="444">
        <v>2</v>
      </c>
      <c r="G434" s="415" t="s">
        <v>1661</v>
      </c>
      <c r="H434" s="444">
        <v>94</v>
      </c>
      <c r="I434" s="417" t="s">
        <v>1664</v>
      </c>
      <c r="J434" s="444">
        <v>2.2000000000000002</v>
      </c>
      <c r="K434" s="444">
        <v>743</v>
      </c>
      <c r="L434" s="444">
        <v>0</v>
      </c>
      <c r="M434" s="444">
        <v>10</v>
      </c>
      <c r="N434" s="444">
        <v>301</v>
      </c>
      <c r="O434" s="444">
        <v>0</v>
      </c>
      <c r="P434" s="444">
        <v>0</v>
      </c>
      <c r="Q434" s="444">
        <v>20</v>
      </c>
      <c r="R434" s="444">
        <v>58</v>
      </c>
      <c r="S434" s="444">
        <v>8</v>
      </c>
      <c r="T434" s="444">
        <v>177</v>
      </c>
      <c r="U434" s="444">
        <v>19</v>
      </c>
      <c r="V434" s="444">
        <v>6</v>
      </c>
      <c r="W434" s="444">
        <v>120</v>
      </c>
      <c r="X434" s="418"/>
      <c r="Y434" s="445"/>
      <c r="Z434" s="420"/>
      <c r="AA434" s="421">
        <v>66.494</v>
      </c>
      <c r="AB434" s="421">
        <v>28.722000000000001</v>
      </c>
      <c r="AC434" s="454">
        <v>0</v>
      </c>
      <c r="AE434" s="419" t="s">
        <v>2331</v>
      </c>
      <c r="AF434" s="454">
        <v>1</v>
      </c>
      <c r="AG434" s="441">
        <v>43101</v>
      </c>
      <c r="AJ434" s="442">
        <v>43252</v>
      </c>
      <c r="AL434" s="424" t="s">
        <v>929</v>
      </c>
      <c r="AO434" s="445"/>
      <c r="AP434" s="454">
        <v>556618</v>
      </c>
      <c r="AQ434" s="443">
        <v>43077</v>
      </c>
      <c r="AT434" s="426"/>
      <c r="AU434" s="426"/>
      <c r="AV434" s="426"/>
      <c r="AY434" s="427" t="s">
        <v>1559</v>
      </c>
      <c r="AZ434" s="373"/>
      <c r="BB434" s="374" t="s">
        <v>2214</v>
      </c>
      <c r="BC434" s="445"/>
      <c r="BE434" s="448">
        <v>5</v>
      </c>
      <c r="BF434" s="449">
        <v>40</v>
      </c>
      <c r="BG434" s="428" t="s">
        <v>1764</v>
      </c>
      <c r="BH434" s="445"/>
      <c r="BI434" s="491"/>
      <c r="BJ434" s="491">
        <v>46</v>
      </c>
      <c r="BK434" s="445" t="s">
        <v>372</v>
      </c>
      <c r="BL434" s="419" t="s">
        <v>2888</v>
      </c>
      <c r="BM434" s="445"/>
      <c r="BN434" s="419" t="s">
        <v>1765</v>
      </c>
      <c r="BO434" s="419" t="s">
        <v>1765</v>
      </c>
      <c r="BP434" s="419" t="s">
        <v>1765</v>
      </c>
      <c r="BQ434" s="419" t="s">
        <v>31</v>
      </c>
      <c r="BR434" s="419"/>
      <c r="BS434" s="419"/>
      <c r="BT434" s="445"/>
      <c r="BU434" s="445"/>
      <c r="BV434" s="445"/>
      <c r="BW434" s="445" t="s">
        <v>2327</v>
      </c>
      <c r="BX434" s="445"/>
      <c r="BY434" s="445"/>
    </row>
    <row r="435" spans="1:77" ht="15">
      <c r="A435" s="370" t="s">
        <v>1269</v>
      </c>
      <c r="B435" s="415" t="s">
        <v>177</v>
      </c>
      <c r="C435" s="416" t="s">
        <v>1682</v>
      </c>
      <c r="D435" s="444">
        <v>0</v>
      </c>
      <c r="E435" s="415" t="s">
        <v>1716</v>
      </c>
      <c r="F435" s="444">
        <v>3</v>
      </c>
      <c r="G435" s="415" t="s">
        <v>1661</v>
      </c>
      <c r="H435" s="444">
        <v>81</v>
      </c>
      <c r="I435" s="417" t="s">
        <v>1773</v>
      </c>
      <c r="J435" s="444">
        <v>6.6</v>
      </c>
      <c r="K435" s="444">
        <v>271</v>
      </c>
      <c r="L435" s="444">
        <v>0</v>
      </c>
      <c r="M435" s="444">
        <v>2</v>
      </c>
      <c r="N435" s="444">
        <v>25</v>
      </c>
      <c r="O435" s="444">
        <v>0</v>
      </c>
      <c r="P435" s="444">
        <v>0</v>
      </c>
      <c r="Q435" s="444">
        <v>0</v>
      </c>
      <c r="R435" s="444">
        <v>14</v>
      </c>
      <c r="S435" s="444">
        <v>8</v>
      </c>
      <c r="T435" s="444">
        <v>66</v>
      </c>
      <c r="U435" s="444">
        <v>2</v>
      </c>
      <c r="V435" s="444">
        <v>1</v>
      </c>
      <c r="W435" s="444">
        <v>5</v>
      </c>
      <c r="X435" s="418"/>
      <c r="Y435" s="445"/>
      <c r="Z435" s="420"/>
      <c r="AA435" s="421">
        <v>77.834000000000003</v>
      </c>
      <c r="AB435" s="421">
        <v>28.722000000000001</v>
      </c>
      <c r="AC435" s="454">
        <v>10</v>
      </c>
      <c r="AE435" s="419" t="s">
        <v>2332</v>
      </c>
      <c r="AF435" s="454">
        <v>1</v>
      </c>
      <c r="AG435" s="441">
        <v>43101</v>
      </c>
      <c r="AJ435" s="442">
        <v>43283</v>
      </c>
      <c r="AL435" s="424" t="s">
        <v>1681</v>
      </c>
      <c r="AO435" s="445"/>
      <c r="AP435" s="454">
        <v>556713</v>
      </c>
      <c r="AQ435" s="443">
        <v>43277</v>
      </c>
      <c r="AT435" s="426"/>
      <c r="AU435" s="426"/>
      <c r="AV435" s="426"/>
      <c r="AY435" s="427" t="s">
        <v>1717</v>
      </c>
      <c r="AZ435" s="373"/>
      <c r="BB435" s="374" t="s">
        <v>1727</v>
      </c>
      <c r="BC435" s="445"/>
      <c r="BE435" s="448">
        <v>0</v>
      </c>
      <c r="BF435" s="449">
        <v>0</v>
      </c>
      <c r="BG435" s="428" t="s">
        <v>1764</v>
      </c>
      <c r="BH435" s="445"/>
      <c r="BI435" s="491"/>
      <c r="BJ435" s="491">
        <v>1</v>
      </c>
      <c r="BK435" s="445" t="s">
        <v>3131</v>
      </c>
      <c r="BL435" s="419" t="s">
        <v>3132</v>
      </c>
      <c r="BM435" s="445"/>
      <c r="BN435" s="419" t="s">
        <v>1765</v>
      </c>
      <c r="BO435" s="419" t="s">
        <v>1765</v>
      </c>
      <c r="BP435" s="419" t="s">
        <v>1765</v>
      </c>
      <c r="BQ435" s="419" t="s">
        <v>1269</v>
      </c>
      <c r="BR435" s="419"/>
      <c r="BS435" s="419"/>
      <c r="BT435" s="445"/>
      <c r="BU435" s="445"/>
      <c r="BV435" s="445"/>
      <c r="BW435" s="445" t="s">
        <v>2327</v>
      </c>
      <c r="BX435" s="445"/>
      <c r="BY435" s="445"/>
    </row>
    <row r="436" spans="1:77" ht="15">
      <c r="A436" s="370" t="s">
        <v>1269</v>
      </c>
      <c r="B436" s="415" t="s">
        <v>177</v>
      </c>
      <c r="C436" s="416" t="s">
        <v>1682</v>
      </c>
      <c r="D436" s="444">
        <v>0</v>
      </c>
      <c r="E436" s="415" t="s">
        <v>1716</v>
      </c>
      <c r="F436" s="444">
        <v>3</v>
      </c>
      <c r="G436" s="415" t="s">
        <v>1661</v>
      </c>
      <c r="H436" s="444">
        <v>81</v>
      </c>
      <c r="I436" s="417" t="s">
        <v>1769</v>
      </c>
      <c r="J436" s="444">
        <v>3.2</v>
      </c>
      <c r="K436" s="444">
        <v>182</v>
      </c>
      <c r="L436" s="444">
        <v>0</v>
      </c>
      <c r="M436" s="444">
        <v>0</v>
      </c>
      <c r="N436" s="444">
        <v>1</v>
      </c>
      <c r="O436" s="444">
        <v>0</v>
      </c>
      <c r="P436" s="444">
        <v>0</v>
      </c>
      <c r="Q436" s="444">
        <v>0</v>
      </c>
      <c r="R436" s="444">
        <v>11</v>
      </c>
      <c r="S436" s="444">
        <v>3</v>
      </c>
      <c r="T436" s="444">
        <v>17</v>
      </c>
      <c r="U436" s="444">
        <v>0</v>
      </c>
      <c r="V436" s="444">
        <v>0</v>
      </c>
      <c r="W436" s="444">
        <v>1</v>
      </c>
      <c r="X436" s="418"/>
      <c r="Y436" s="445"/>
      <c r="Z436" s="420"/>
      <c r="AA436" s="421">
        <v>128.21899999999999</v>
      </c>
      <c r="AB436" s="421">
        <v>28.722000000000001</v>
      </c>
      <c r="AC436" s="454">
        <v>4</v>
      </c>
      <c r="AE436" s="419" t="s">
        <v>2333</v>
      </c>
      <c r="AF436" s="454">
        <v>1</v>
      </c>
      <c r="AG436" s="441">
        <v>43101</v>
      </c>
      <c r="AJ436" s="442">
        <v>43283</v>
      </c>
      <c r="AL436" s="424" t="s">
        <v>1681</v>
      </c>
      <c r="AO436" s="445"/>
      <c r="AP436" s="454">
        <v>556713</v>
      </c>
      <c r="AQ436" s="443">
        <v>43277</v>
      </c>
      <c r="AT436" s="426"/>
      <c r="AU436" s="426"/>
      <c r="AV436" s="426"/>
      <c r="AY436" s="427" t="s">
        <v>1717</v>
      </c>
      <c r="AZ436" s="373"/>
      <c r="BB436" s="374" t="s">
        <v>1727</v>
      </c>
      <c r="BC436" s="445"/>
      <c r="BE436" s="448">
        <v>0</v>
      </c>
      <c r="BF436" s="449">
        <v>0</v>
      </c>
      <c r="BG436" s="428" t="s">
        <v>1764</v>
      </c>
      <c r="BH436" s="445"/>
      <c r="BI436" s="491"/>
      <c r="BJ436" s="491">
        <v>2</v>
      </c>
      <c r="BK436" s="445" t="s">
        <v>3133</v>
      </c>
      <c r="BL436" s="419" t="s">
        <v>3134</v>
      </c>
      <c r="BM436" s="445"/>
      <c r="BN436" s="419" t="s">
        <v>1765</v>
      </c>
      <c r="BO436" s="419" t="s">
        <v>1765</v>
      </c>
      <c r="BP436" s="419" t="s">
        <v>1765</v>
      </c>
      <c r="BQ436" s="419" t="s">
        <v>1269</v>
      </c>
      <c r="BR436" s="419"/>
      <c r="BS436" s="419"/>
      <c r="BT436" s="445"/>
      <c r="BU436" s="445"/>
      <c r="BV436" s="445"/>
      <c r="BW436" s="445" t="s">
        <v>2327</v>
      </c>
      <c r="BX436" s="445"/>
      <c r="BY436" s="445"/>
    </row>
    <row r="437" spans="1:77" ht="15">
      <c r="A437" s="370" t="s">
        <v>1269</v>
      </c>
      <c r="B437" s="415" t="s">
        <v>177</v>
      </c>
      <c r="C437" s="416" t="s">
        <v>1682</v>
      </c>
      <c r="D437" s="444">
        <v>0</v>
      </c>
      <c r="E437" s="415" t="s">
        <v>1716</v>
      </c>
      <c r="F437" s="444">
        <v>3</v>
      </c>
      <c r="G437" s="415" t="s">
        <v>1661</v>
      </c>
      <c r="H437" s="444">
        <v>65</v>
      </c>
      <c r="I437" s="417" t="s">
        <v>1768</v>
      </c>
      <c r="J437" s="444">
        <v>3.9</v>
      </c>
      <c r="K437" s="444">
        <v>137</v>
      </c>
      <c r="L437" s="444">
        <v>0</v>
      </c>
      <c r="M437" s="444">
        <v>0</v>
      </c>
      <c r="N437" s="444">
        <v>5</v>
      </c>
      <c r="O437" s="444">
        <v>0</v>
      </c>
      <c r="P437" s="444">
        <v>0</v>
      </c>
      <c r="Q437" s="444">
        <v>0</v>
      </c>
      <c r="R437" s="444">
        <v>11</v>
      </c>
      <c r="S437" s="444">
        <v>0</v>
      </c>
      <c r="T437" s="444">
        <v>11</v>
      </c>
      <c r="U437" s="444">
        <v>1</v>
      </c>
      <c r="V437" s="444">
        <v>0</v>
      </c>
      <c r="W437" s="444">
        <v>0</v>
      </c>
      <c r="X437" s="418"/>
      <c r="Y437" s="445"/>
      <c r="Z437" s="420"/>
      <c r="AA437" s="421">
        <v>126.974</v>
      </c>
      <c r="AB437" s="421">
        <v>28.722000000000001</v>
      </c>
      <c r="AC437" s="454">
        <v>3</v>
      </c>
      <c r="AE437" s="419" t="s">
        <v>2334</v>
      </c>
      <c r="AF437" s="454">
        <v>1</v>
      </c>
      <c r="AG437" s="441">
        <v>43101</v>
      </c>
      <c r="AJ437" s="442">
        <v>43283</v>
      </c>
      <c r="AL437" s="424" t="s">
        <v>1681</v>
      </c>
      <c r="AO437" s="445"/>
      <c r="AP437" s="454">
        <v>556713</v>
      </c>
      <c r="AQ437" s="443">
        <v>43277</v>
      </c>
      <c r="AT437" s="426"/>
      <c r="AU437" s="426"/>
      <c r="AV437" s="426"/>
      <c r="AY437" s="427" t="s">
        <v>1717</v>
      </c>
      <c r="AZ437" s="373"/>
      <c r="BB437" s="374" t="s">
        <v>1727</v>
      </c>
      <c r="BC437" s="445"/>
      <c r="BE437" s="448">
        <v>0</v>
      </c>
      <c r="BF437" s="449">
        <v>0</v>
      </c>
      <c r="BG437" s="428" t="s">
        <v>1764</v>
      </c>
      <c r="BH437" s="445"/>
      <c r="BI437" s="491"/>
      <c r="BJ437" s="491">
        <v>3</v>
      </c>
      <c r="BK437" s="445" t="s">
        <v>1906</v>
      </c>
      <c r="BL437" s="419" t="s">
        <v>3135</v>
      </c>
      <c r="BM437" s="445"/>
      <c r="BN437" s="419" t="s">
        <v>1765</v>
      </c>
      <c r="BO437" s="419" t="s">
        <v>1765</v>
      </c>
      <c r="BP437" s="419" t="s">
        <v>1765</v>
      </c>
      <c r="BQ437" s="419" t="s">
        <v>1269</v>
      </c>
      <c r="BR437" s="419"/>
      <c r="BS437" s="419"/>
      <c r="BT437" s="445"/>
      <c r="BU437" s="445"/>
      <c r="BV437" s="445"/>
      <c r="BW437" s="445" t="s">
        <v>2327</v>
      </c>
      <c r="BX437" s="445"/>
      <c r="BY437" s="445"/>
    </row>
    <row r="438" spans="1:77" ht="15">
      <c r="A438" s="370" t="s">
        <v>1269</v>
      </c>
      <c r="B438" s="415" t="s">
        <v>177</v>
      </c>
      <c r="C438" s="416" t="s">
        <v>1682</v>
      </c>
      <c r="D438" s="444">
        <v>0</v>
      </c>
      <c r="E438" s="415" t="s">
        <v>1716</v>
      </c>
      <c r="F438" s="444">
        <v>3</v>
      </c>
      <c r="G438" s="415" t="s">
        <v>1661</v>
      </c>
      <c r="H438" s="444">
        <v>78</v>
      </c>
      <c r="I438" s="417" t="s">
        <v>1768</v>
      </c>
      <c r="J438" s="444">
        <v>0.9</v>
      </c>
      <c r="K438" s="444">
        <v>100</v>
      </c>
      <c r="L438" s="444">
        <v>0</v>
      </c>
      <c r="M438" s="444">
        <v>0</v>
      </c>
      <c r="N438" s="444">
        <v>4</v>
      </c>
      <c r="O438" s="444">
        <v>0</v>
      </c>
      <c r="P438" s="444">
        <v>0</v>
      </c>
      <c r="Q438" s="444">
        <v>0</v>
      </c>
      <c r="R438" s="444">
        <v>5</v>
      </c>
      <c r="S438" s="444">
        <v>4</v>
      </c>
      <c r="T438" s="444">
        <v>26</v>
      </c>
      <c r="U438" s="444">
        <v>0</v>
      </c>
      <c r="V438" s="444">
        <v>0</v>
      </c>
      <c r="W438" s="444">
        <v>2</v>
      </c>
      <c r="X438" s="418"/>
      <c r="Y438" s="445"/>
      <c r="Z438" s="420"/>
      <c r="AA438" s="421">
        <v>81.414000000000001</v>
      </c>
      <c r="AB438" s="421">
        <v>28.722000000000001</v>
      </c>
      <c r="AC438" s="454">
        <v>4</v>
      </c>
      <c r="AE438" s="419" t="s">
        <v>2335</v>
      </c>
      <c r="AF438" s="454">
        <v>1</v>
      </c>
      <c r="AG438" s="441">
        <v>43101</v>
      </c>
      <c r="AJ438" s="442">
        <v>43283</v>
      </c>
      <c r="AL438" s="424" t="s">
        <v>1681</v>
      </c>
      <c r="AO438" s="445"/>
      <c r="AP438" s="454">
        <v>556713</v>
      </c>
      <c r="AQ438" s="443">
        <v>43277</v>
      </c>
      <c r="AT438" s="426"/>
      <c r="AU438" s="426"/>
      <c r="AV438" s="426"/>
      <c r="AY438" s="427" t="s">
        <v>1717</v>
      </c>
      <c r="AZ438" s="373"/>
      <c r="BB438" s="374" t="s">
        <v>1727</v>
      </c>
      <c r="BC438" s="445"/>
      <c r="BE438" s="448">
        <v>0</v>
      </c>
      <c r="BF438" s="449">
        <v>0</v>
      </c>
      <c r="BG438" s="428" t="s">
        <v>1764</v>
      </c>
      <c r="BH438" s="445"/>
      <c r="BI438" s="491"/>
      <c r="BJ438" s="491">
        <v>4</v>
      </c>
      <c r="BK438" s="445" t="s">
        <v>3136</v>
      </c>
      <c r="BL438" s="419" t="s">
        <v>3137</v>
      </c>
      <c r="BM438" s="445"/>
      <c r="BN438" s="419" t="s">
        <v>1765</v>
      </c>
      <c r="BO438" s="419" t="s">
        <v>1765</v>
      </c>
      <c r="BP438" s="419" t="s">
        <v>1765</v>
      </c>
      <c r="BQ438" s="419" t="s">
        <v>1269</v>
      </c>
      <c r="BR438" s="419"/>
      <c r="BS438" s="419"/>
      <c r="BT438" s="445"/>
      <c r="BU438" s="445"/>
      <c r="BV438" s="445"/>
      <c r="BW438" s="445" t="s">
        <v>2327</v>
      </c>
      <c r="BX438" s="445"/>
      <c r="BY438" s="445"/>
    </row>
    <row r="439" spans="1:77" ht="15">
      <c r="A439" s="370" t="s">
        <v>1269</v>
      </c>
      <c r="B439" s="415" t="s">
        <v>177</v>
      </c>
      <c r="C439" s="416" t="s">
        <v>1682</v>
      </c>
      <c r="D439" s="444">
        <v>0</v>
      </c>
      <c r="E439" s="415" t="s">
        <v>1716</v>
      </c>
      <c r="F439" s="444">
        <v>3</v>
      </c>
      <c r="G439" s="415" t="s">
        <v>1661</v>
      </c>
      <c r="H439" s="444">
        <v>32</v>
      </c>
      <c r="I439" s="417" t="s">
        <v>1768</v>
      </c>
      <c r="J439" s="444">
        <v>1.9</v>
      </c>
      <c r="K439" s="444">
        <v>70</v>
      </c>
      <c r="L439" s="444">
        <v>0</v>
      </c>
      <c r="M439" s="444">
        <v>0</v>
      </c>
      <c r="N439" s="444">
        <v>11</v>
      </c>
      <c r="O439" s="444">
        <v>0</v>
      </c>
      <c r="P439" s="444">
        <v>0</v>
      </c>
      <c r="Q439" s="444">
        <v>0</v>
      </c>
      <c r="R439" s="444">
        <v>0</v>
      </c>
      <c r="S439" s="444">
        <v>6</v>
      </c>
      <c r="T439" s="444">
        <v>31</v>
      </c>
      <c r="U439" s="444">
        <v>0</v>
      </c>
      <c r="V439" s="444">
        <v>0</v>
      </c>
      <c r="W439" s="444">
        <v>4</v>
      </c>
      <c r="X439" s="418"/>
      <c r="Y439" s="445"/>
      <c r="Z439" s="420"/>
      <c r="AA439" s="421">
        <v>65.847999999999999</v>
      </c>
      <c r="AB439" s="421">
        <v>28.722000000000001</v>
      </c>
      <c r="AC439" s="454">
        <v>3</v>
      </c>
      <c r="AE439" s="419" t="s">
        <v>2336</v>
      </c>
      <c r="AF439" s="454">
        <v>1</v>
      </c>
      <c r="AG439" s="441">
        <v>43101</v>
      </c>
      <c r="AJ439" s="442">
        <v>43283</v>
      </c>
      <c r="AL439" s="424" t="s">
        <v>1681</v>
      </c>
      <c r="AO439" s="445"/>
      <c r="AP439" s="454">
        <v>556713</v>
      </c>
      <c r="AQ439" s="443">
        <v>43277</v>
      </c>
      <c r="AT439" s="426"/>
      <c r="AU439" s="426"/>
      <c r="AV439" s="426"/>
      <c r="AY439" s="427" t="s">
        <v>1717</v>
      </c>
      <c r="AZ439" s="373"/>
      <c r="BB439" s="374" t="s">
        <v>1727</v>
      </c>
      <c r="BC439" s="445"/>
      <c r="BE439" s="448">
        <v>0</v>
      </c>
      <c r="BF439" s="449">
        <v>0</v>
      </c>
      <c r="BG439" s="428" t="s">
        <v>1764</v>
      </c>
      <c r="BH439" s="445"/>
      <c r="BI439" s="491"/>
      <c r="BJ439" s="491">
        <v>5</v>
      </c>
      <c r="BK439" s="445" t="s">
        <v>3138</v>
      </c>
      <c r="BL439" s="419" t="s">
        <v>3139</v>
      </c>
      <c r="BM439" s="445"/>
      <c r="BN439" s="419" t="s">
        <v>1765</v>
      </c>
      <c r="BO439" s="419" t="s">
        <v>1765</v>
      </c>
      <c r="BP439" s="419" t="s">
        <v>1765</v>
      </c>
      <c r="BQ439" s="419" t="s">
        <v>1269</v>
      </c>
      <c r="BR439" s="419"/>
      <c r="BS439" s="419"/>
      <c r="BT439" s="445"/>
      <c r="BU439" s="445"/>
      <c r="BV439" s="445"/>
      <c r="BW439" s="445" t="s">
        <v>2327</v>
      </c>
      <c r="BX439" s="445"/>
      <c r="BY439" s="445"/>
    </row>
    <row r="440" spans="1:77" ht="15">
      <c r="A440" s="370" t="s">
        <v>1269</v>
      </c>
      <c r="B440" s="415" t="s">
        <v>177</v>
      </c>
      <c r="C440" s="416" t="s">
        <v>1682</v>
      </c>
      <c r="D440" s="444">
        <v>0</v>
      </c>
      <c r="E440" s="415" t="s">
        <v>1716</v>
      </c>
      <c r="F440" s="444">
        <v>3</v>
      </c>
      <c r="G440" s="415" t="s">
        <v>1661</v>
      </c>
      <c r="H440" s="444">
        <v>70</v>
      </c>
      <c r="I440" s="417" t="s">
        <v>1664</v>
      </c>
      <c r="J440" s="444">
        <v>18.399999999999999</v>
      </c>
      <c r="K440" s="444">
        <v>319</v>
      </c>
      <c r="L440" s="444">
        <v>0</v>
      </c>
      <c r="M440" s="444">
        <v>0</v>
      </c>
      <c r="N440" s="444">
        <v>14</v>
      </c>
      <c r="O440" s="444">
        <v>0</v>
      </c>
      <c r="P440" s="444">
        <v>0</v>
      </c>
      <c r="Q440" s="444">
        <v>0</v>
      </c>
      <c r="R440" s="444">
        <v>11</v>
      </c>
      <c r="S440" s="444">
        <v>7</v>
      </c>
      <c r="T440" s="444">
        <v>77</v>
      </c>
      <c r="U440" s="444">
        <v>2</v>
      </c>
      <c r="V440" s="444">
        <v>1</v>
      </c>
      <c r="W440" s="444">
        <v>3</v>
      </c>
      <c r="X440" s="418"/>
      <c r="Y440" s="445"/>
      <c r="Z440" s="420"/>
      <c r="AA440" s="421">
        <v>97.308000000000007</v>
      </c>
      <c r="AB440" s="421">
        <v>28.722000000000001</v>
      </c>
      <c r="AC440" s="454">
        <v>10</v>
      </c>
      <c r="AE440" s="419" t="s">
        <v>2337</v>
      </c>
      <c r="AF440" s="454">
        <v>1</v>
      </c>
      <c r="AG440" s="441">
        <v>43101</v>
      </c>
      <c r="AJ440" s="442">
        <v>43283</v>
      </c>
      <c r="AL440" s="424" t="s">
        <v>1681</v>
      </c>
      <c r="AO440" s="445"/>
      <c r="AP440" s="454">
        <v>556713</v>
      </c>
      <c r="AQ440" s="443">
        <v>43277</v>
      </c>
      <c r="AT440" s="426"/>
      <c r="AU440" s="426"/>
      <c r="AV440" s="426"/>
      <c r="AY440" s="427" t="s">
        <v>1717</v>
      </c>
      <c r="AZ440" s="373"/>
      <c r="BB440" s="374" t="s">
        <v>1727</v>
      </c>
      <c r="BC440" s="445"/>
      <c r="BE440" s="448">
        <v>0</v>
      </c>
      <c r="BF440" s="449">
        <v>0</v>
      </c>
      <c r="BG440" s="428" t="s">
        <v>1764</v>
      </c>
      <c r="BH440" s="445"/>
      <c r="BI440" s="491"/>
      <c r="BJ440" s="491">
        <v>6</v>
      </c>
      <c r="BK440" s="445" t="s">
        <v>3140</v>
      </c>
      <c r="BL440" s="419" t="s">
        <v>3141</v>
      </c>
      <c r="BM440" s="445"/>
      <c r="BN440" s="419" t="s">
        <v>1765</v>
      </c>
      <c r="BO440" s="419" t="s">
        <v>1765</v>
      </c>
      <c r="BP440" s="419" t="s">
        <v>1765</v>
      </c>
      <c r="BQ440" s="419" t="s">
        <v>1269</v>
      </c>
      <c r="BR440" s="419"/>
      <c r="BS440" s="419"/>
      <c r="BT440" s="445"/>
      <c r="BU440" s="445"/>
      <c r="BV440" s="445"/>
      <c r="BW440" s="445" t="s">
        <v>2327</v>
      </c>
      <c r="BX440" s="445"/>
      <c r="BY440" s="445"/>
    </row>
    <row r="441" spans="1:77" ht="15">
      <c r="A441" s="370" t="s">
        <v>1269</v>
      </c>
      <c r="B441" s="415" t="s">
        <v>19</v>
      </c>
      <c r="C441" s="416" t="s">
        <v>1682</v>
      </c>
      <c r="D441" s="444">
        <v>0</v>
      </c>
      <c r="E441" s="415" t="s">
        <v>1716</v>
      </c>
      <c r="F441" s="444">
        <v>3</v>
      </c>
      <c r="G441" s="415" t="s">
        <v>1661</v>
      </c>
      <c r="H441" s="444">
        <v>11</v>
      </c>
      <c r="I441" s="417" t="s">
        <v>1632</v>
      </c>
      <c r="J441" s="444">
        <v>0.8</v>
      </c>
      <c r="K441" s="444">
        <v>108</v>
      </c>
      <c r="L441" s="444">
        <v>0</v>
      </c>
      <c r="M441" s="444">
        <v>0</v>
      </c>
      <c r="N441" s="444">
        <v>5</v>
      </c>
      <c r="O441" s="444">
        <v>0</v>
      </c>
      <c r="P441" s="444">
        <v>0</v>
      </c>
      <c r="Q441" s="444">
        <v>0</v>
      </c>
      <c r="R441" s="444">
        <v>0</v>
      </c>
      <c r="S441" s="444">
        <v>0</v>
      </c>
      <c r="T441" s="444">
        <v>37</v>
      </c>
      <c r="U441" s="444">
        <v>0</v>
      </c>
      <c r="V441" s="444">
        <v>0</v>
      </c>
      <c r="W441" s="444">
        <v>0</v>
      </c>
      <c r="X441" s="418"/>
      <c r="Y441" s="445"/>
      <c r="Z441" s="420"/>
      <c r="AA441" s="421">
        <v>80.7</v>
      </c>
      <c r="AB441" s="421">
        <v>28.722000000000001</v>
      </c>
      <c r="AC441" s="454">
        <v>3</v>
      </c>
      <c r="AE441" s="419" t="s">
        <v>2338</v>
      </c>
      <c r="AF441" s="454">
        <v>1</v>
      </c>
      <c r="AG441" s="441">
        <v>43101</v>
      </c>
      <c r="AJ441" s="442">
        <v>43283</v>
      </c>
      <c r="AL441" s="424" t="s">
        <v>999</v>
      </c>
      <c r="AO441" s="445"/>
      <c r="AP441" s="454">
        <v>556709</v>
      </c>
      <c r="AQ441" s="443">
        <v>43270</v>
      </c>
      <c r="AT441" s="426"/>
      <c r="AU441" s="426"/>
      <c r="AV441" s="426"/>
      <c r="AY441" s="427" t="s">
        <v>1559</v>
      </c>
      <c r="AZ441" s="373"/>
      <c r="BB441" s="374" t="s">
        <v>2214</v>
      </c>
      <c r="BC441" s="445"/>
      <c r="BE441" s="448">
        <v>0</v>
      </c>
      <c r="BF441" s="449">
        <v>0</v>
      </c>
      <c r="BG441" s="428" t="s">
        <v>1764</v>
      </c>
      <c r="BH441" s="445"/>
      <c r="BI441" s="491"/>
      <c r="BJ441" s="491">
        <v>7</v>
      </c>
      <c r="BK441" s="445" t="s">
        <v>356</v>
      </c>
      <c r="BL441" s="419" t="s">
        <v>3142</v>
      </c>
      <c r="BM441" s="445"/>
      <c r="BN441" s="419" t="s">
        <v>1765</v>
      </c>
      <c r="BO441" s="419" t="s">
        <v>1765</v>
      </c>
      <c r="BP441" s="419" t="s">
        <v>1765</v>
      </c>
      <c r="BQ441" s="419" t="s">
        <v>1269</v>
      </c>
      <c r="BR441" s="419"/>
      <c r="BS441" s="419"/>
      <c r="BT441" s="445"/>
      <c r="BU441" s="445"/>
      <c r="BV441" s="445"/>
      <c r="BW441" s="445" t="s">
        <v>2327</v>
      </c>
      <c r="BX441" s="445"/>
      <c r="BY441" s="445"/>
    </row>
    <row r="442" spans="1:77" ht="15">
      <c r="A442" s="370" t="s">
        <v>1269</v>
      </c>
      <c r="B442" s="415" t="s">
        <v>19</v>
      </c>
      <c r="C442" s="416" t="s">
        <v>1682</v>
      </c>
      <c r="D442" s="444">
        <v>0</v>
      </c>
      <c r="E442" s="415" t="s">
        <v>1716</v>
      </c>
      <c r="F442" s="444">
        <v>3</v>
      </c>
      <c r="G442" s="415" t="s">
        <v>1661</v>
      </c>
      <c r="H442" s="444">
        <v>9</v>
      </c>
      <c r="I442" s="417" t="s">
        <v>1685</v>
      </c>
      <c r="J442" s="444">
        <v>0.6</v>
      </c>
      <c r="K442" s="444">
        <v>112</v>
      </c>
      <c r="L442" s="444">
        <v>0</v>
      </c>
      <c r="M442" s="444">
        <v>0</v>
      </c>
      <c r="N442" s="444">
        <v>2</v>
      </c>
      <c r="O442" s="444">
        <v>0</v>
      </c>
      <c r="P442" s="444">
        <v>0</v>
      </c>
      <c r="Q442" s="444">
        <v>0</v>
      </c>
      <c r="R442" s="444">
        <v>0</v>
      </c>
      <c r="S442" s="444">
        <v>0</v>
      </c>
      <c r="T442" s="444">
        <v>19</v>
      </c>
      <c r="U442" s="444">
        <v>0</v>
      </c>
      <c r="V442" s="444">
        <v>0</v>
      </c>
      <c r="W442" s="444">
        <v>0</v>
      </c>
      <c r="X442" s="418"/>
      <c r="Y442" s="445"/>
      <c r="Z442" s="420"/>
      <c r="AA442" s="421">
        <v>107.35299999999999</v>
      </c>
      <c r="AB442" s="421">
        <v>28.722000000000001</v>
      </c>
      <c r="AC442" s="454">
        <v>2</v>
      </c>
      <c r="AE442" s="419" t="s">
        <v>2339</v>
      </c>
      <c r="AF442" s="454">
        <v>1</v>
      </c>
      <c r="AG442" s="441">
        <v>43101</v>
      </c>
      <c r="AJ442" s="442">
        <v>43283</v>
      </c>
      <c r="AL442" s="424" t="s">
        <v>999</v>
      </c>
      <c r="AO442" s="445"/>
      <c r="AP442" s="454">
        <v>556709</v>
      </c>
      <c r="AQ442" s="443">
        <v>43270</v>
      </c>
      <c r="AT442" s="426"/>
      <c r="AU442" s="426"/>
      <c r="AV442" s="426"/>
      <c r="AY442" s="427" t="s">
        <v>1559</v>
      </c>
      <c r="AZ442" s="373"/>
      <c r="BB442" s="374" t="s">
        <v>2214</v>
      </c>
      <c r="BC442" s="445"/>
      <c r="BE442" s="448">
        <v>0</v>
      </c>
      <c r="BF442" s="449">
        <v>0</v>
      </c>
      <c r="BG442" s="428" t="s">
        <v>1764</v>
      </c>
      <c r="BH442" s="445"/>
      <c r="BI442" s="491"/>
      <c r="BJ442" s="491">
        <v>9</v>
      </c>
      <c r="BK442" s="445" t="s">
        <v>3143</v>
      </c>
      <c r="BL442" s="419" t="s">
        <v>3144</v>
      </c>
      <c r="BM442" s="445"/>
      <c r="BN442" s="419" t="s">
        <v>1765</v>
      </c>
      <c r="BO442" s="419" t="s">
        <v>1765</v>
      </c>
      <c r="BP442" s="419" t="s">
        <v>1765</v>
      </c>
      <c r="BQ442" s="419" t="s">
        <v>1269</v>
      </c>
      <c r="BR442" s="419"/>
      <c r="BS442" s="419"/>
      <c r="BT442" s="445"/>
      <c r="BU442" s="445"/>
      <c r="BV442" s="445"/>
      <c r="BW442" s="445" t="s">
        <v>2327</v>
      </c>
      <c r="BX442" s="445"/>
      <c r="BY442" s="445"/>
    </row>
    <row r="443" spans="1:77" ht="15">
      <c r="A443" s="370" t="s">
        <v>1269</v>
      </c>
      <c r="B443" s="415" t="s">
        <v>19</v>
      </c>
      <c r="C443" s="416" t="s">
        <v>1682</v>
      </c>
      <c r="D443" s="444">
        <v>0</v>
      </c>
      <c r="E443" s="415" t="s">
        <v>1716</v>
      </c>
      <c r="F443" s="444">
        <v>3</v>
      </c>
      <c r="G443" s="415" t="s">
        <v>1661</v>
      </c>
      <c r="H443" s="444">
        <v>125</v>
      </c>
      <c r="I443" s="417" t="s">
        <v>1768</v>
      </c>
      <c r="J443" s="444">
        <v>2.2000000000000002</v>
      </c>
      <c r="K443" s="444">
        <v>265</v>
      </c>
      <c r="L443" s="444">
        <v>0</v>
      </c>
      <c r="M443" s="444">
        <v>0</v>
      </c>
      <c r="N443" s="444">
        <v>0</v>
      </c>
      <c r="O443" s="444">
        <v>0</v>
      </c>
      <c r="P443" s="444">
        <v>0</v>
      </c>
      <c r="Q443" s="444">
        <v>0</v>
      </c>
      <c r="R443" s="444">
        <v>0</v>
      </c>
      <c r="S443" s="444">
        <v>0</v>
      </c>
      <c r="T443" s="444">
        <v>102</v>
      </c>
      <c r="U443" s="444">
        <v>0</v>
      </c>
      <c r="V443" s="444">
        <v>0</v>
      </c>
      <c r="W443" s="444">
        <v>0</v>
      </c>
      <c r="X443" s="418"/>
      <c r="Y443" s="445"/>
      <c r="Z443" s="420"/>
      <c r="AA443" s="421">
        <v>84.825999999999993</v>
      </c>
      <c r="AB443" s="421">
        <v>28.722000000000001</v>
      </c>
      <c r="AC443" s="454">
        <v>15</v>
      </c>
      <c r="AE443" s="419" t="s">
        <v>2340</v>
      </c>
      <c r="AF443" s="454">
        <v>1</v>
      </c>
      <c r="AG443" s="441">
        <v>43101</v>
      </c>
      <c r="AJ443" s="442">
        <v>43283</v>
      </c>
      <c r="AL443" s="424" t="s">
        <v>1001</v>
      </c>
      <c r="AO443" s="445"/>
      <c r="AP443" s="454">
        <v>556709</v>
      </c>
      <c r="AQ443" s="443">
        <v>43270</v>
      </c>
      <c r="AT443" s="426"/>
      <c r="AU443" s="426"/>
      <c r="AV443" s="426"/>
      <c r="AY443" s="427" t="s">
        <v>1559</v>
      </c>
      <c r="AZ443" s="373"/>
      <c r="BB443" s="374" t="s">
        <v>2214</v>
      </c>
      <c r="BC443" s="445"/>
      <c r="BE443" s="448">
        <v>0</v>
      </c>
      <c r="BF443" s="449">
        <v>0</v>
      </c>
      <c r="BG443" s="428" t="s">
        <v>1764</v>
      </c>
      <c r="BH443" s="445"/>
      <c r="BI443" s="491"/>
      <c r="BJ443" s="491">
        <v>10</v>
      </c>
      <c r="BK443" s="445" t="s">
        <v>3145</v>
      </c>
      <c r="BL443" s="419" t="s">
        <v>3146</v>
      </c>
      <c r="BM443" s="445"/>
      <c r="BN443" s="419" t="s">
        <v>1765</v>
      </c>
      <c r="BO443" s="419" t="s">
        <v>1765</v>
      </c>
      <c r="BP443" s="419" t="s">
        <v>1765</v>
      </c>
      <c r="BQ443" s="419" t="s">
        <v>1269</v>
      </c>
      <c r="BR443" s="419"/>
      <c r="BS443" s="419"/>
      <c r="BT443" s="445"/>
      <c r="BU443" s="445"/>
      <c r="BV443" s="445"/>
      <c r="BW443" s="445" t="s">
        <v>2327</v>
      </c>
      <c r="BX443" s="445"/>
      <c r="BY443" s="445"/>
    </row>
    <row r="444" spans="1:77" ht="15">
      <c r="A444" s="370" t="s">
        <v>1269</v>
      </c>
      <c r="B444" s="415" t="s">
        <v>19</v>
      </c>
      <c r="C444" s="416" t="s">
        <v>2131</v>
      </c>
      <c r="D444" s="444">
        <v>0</v>
      </c>
      <c r="E444" s="415" t="s">
        <v>1716</v>
      </c>
      <c r="F444" s="444">
        <v>3</v>
      </c>
      <c r="G444" s="415" t="s">
        <v>1661</v>
      </c>
      <c r="H444" s="444">
        <v>43</v>
      </c>
      <c r="I444" s="417" t="s">
        <v>1436</v>
      </c>
      <c r="J444" s="444">
        <v>0.3</v>
      </c>
      <c r="K444" s="444">
        <v>19</v>
      </c>
      <c r="L444" s="444">
        <v>0</v>
      </c>
      <c r="M444" s="444">
        <v>0</v>
      </c>
      <c r="N444" s="444">
        <v>2</v>
      </c>
      <c r="O444" s="444">
        <v>0</v>
      </c>
      <c r="P444" s="444">
        <v>0</v>
      </c>
      <c r="Q444" s="444">
        <v>0</v>
      </c>
      <c r="R444" s="444">
        <v>0</v>
      </c>
      <c r="S444" s="444">
        <v>0</v>
      </c>
      <c r="T444" s="444">
        <v>5</v>
      </c>
      <c r="U444" s="444">
        <v>0</v>
      </c>
      <c r="V444" s="444">
        <v>0</v>
      </c>
      <c r="W444" s="444">
        <v>0</v>
      </c>
      <c r="X444" s="418"/>
      <c r="Y444" s="445"/>
      <c r="Z444" s="420"/>
      <c r="AA444" s="421">
        <v>79.944000000000003</v>
      </c>
      <c r="AB444" s="421">
        <v>28.722000000000001</v>
      </c>
      <c r="AC444" s="454">
        <v>0</v>
      </c>
      <c r="AE444" s="419" t="s">
        <v>2341</v>
      </c>
      <c r="AF444" s="454">
        <v>1</v>
      </c>
      <c r="AG444" s="441">
        <v>43101</v>
      </c>
      <c r="AJ444" s="442">
        <v>43283</v>
      </c>
      <c r="AL444" s="424" t="s">
        <v>1037</v>
      </c>
      <c r="AO444" s="445"/>
      <c r="AP444" s="454">
        <v>556707</v>
      </c>
      <c r="AQ444" s="443">
        <v>43250</v>
      </c>
      <c r="AT444" s="426"/>
      <c r="AU444" s="426"/>
      <c r="AV444" s="426"/>
      <c r="AY444" s="427" t="s">
        <v>1559</v>
      </c>
      <c r="AZ444" s="373"/>
      <c r="BB444" s="374" t="s">
        <v>2214</v>
      </c>
      <c r="BC444" s="445"/>
      <c r="BE444" s="448">
        <v>0</v>
      </c>
      <c r="BF444" s="449">
        <v>0</v>
      </c>
      <c r="BG444" s="428" t="s">
        <v>1764</v>
      </c>
      <c r="BH444" s="445"/>
      <c r="BI444" s="491"/>
      <c r="BJ444" s="491">
        <v>1</v>
      </c>
      <c r="BK444" s="445" t="s">
        <v>3147</v>
      </c>
      <c r="BL444" s="419" t="s">
        <v>3148</v>
      </c>
      <c r="BM444" s="445"/>
      <c r="BN444" s="419" t="s">
        <v>1765</v>
      </c>
      <c r="BO444" s="419" t="s">
        <v>1765</v>
      </c>
      <c r="BP444" s="419" t="s">
        <v>1765</v>
      </c>
      <c r="BQ444" s="419" t="s">
        <v>1269</v>
      </c>
      <c r="BR444" s="419"/>
      <c r="BS444" s="419"/>
      <c r="BT444" s="445"/>
      <c r="BU444" s="445"/>
      <c r="BV444" s="445"/>
      <c r="BW444" s="445" t="s">
        <v>2327</v>
      </c>
      <c r="BX444" s="445"/>
      <c r="BY444" s="445"/>
    </row>
    <row r="445" spans="1:77" ht="15">
      <c r="A445" s="370" t="s">
        <v>1269</v>
      </c>
      <c r="B445" s="415" t="s">
        <v>19</v>
      </c>
      <c r="C445" s="416" t="s">
        <v>2131</v>
      </c>
      <c r="D445" s="444">
        <v>0</v>
      </c>
      <c r="E445" s="415" t="s">
        <v>1716</v>
      </c>
      <c r="F445" s="444">
        <v>3</v>
      </c>
      <c r="G445" s="415" t="s">
        <v>1661</v>
      </c>
      <c r="H445" s="444">
        <v>46</v>
      </c>
      <c r="I445" s="417" t="s">
        <v>1436</v>
      </c>
      <c r="J445" s="444">
        <v>0.2</v>
      </c>
      <c r="K445" s="444">
        <v>37</v>
      </c>
      <c r="L445" s="444">
        <v>0</v>
      </c>
      <c r="M445" s="444">
        <v>0</v>
      </c>
      <c r="N445" s="444">
        <v>0</v>
      </c>
      <c r="O445" s="444">
        <v>0</v>
      </c>
      <c r="P445" s="444">
        <v>0</v>
      </c>
      <c r="Q445" s="444">
        <v>0</v>
      </c>
      <c r="R445" s="444">
        <v>0</v>
      </c>
      <c r="S445" s="444">
        <v>0</v>
      </c>
      <c r="T445" s="444">
        <v>4</v>
      </c>
      <c r="U445" s="444">
        <v>0</v>
      </c>
      <c r="V445" s="444">
        <v>0</v>
      </c>
      <c r="W445" s="444">
        <v>0</v>
      </c>
      <c r="X445" s="418"/>
      <c r="Y445" s="445"/>
      <c r="Z445" s="420"/>
      <c r="AA445" s="421">
        <v>145.864</v>
      </c>
      <c r="AB445" s="421">
        <v>28.722000000000001</v>
      </c>
      <c r="AC445" s="454">
        <v>0</v>
      </c>
      <c r="AE445" s="419" t="s">
        <v>2342</v>
      </c>
      <c r="AF445" s="454">
        <v>1</v>
      </c>
      <c r="AG445" s="441">
        <v>43101</v>
      </c>
      <c r="AJ445" s="442">
        <v>43283</v>
      </c>
      <c r="AL445" s="424" t="s">
        <v>1037</v>
      </c>
      <c r="AO445" s="445"/>
      <c r="AP445" s="454">
        <v>556707</v>
      </c>
      <c r="AQ445" s="443">
        <v>43250</v>
      </c>
      <c r="AT445" s="426"/>
      <c r="AU445" s="426"/>
      <c r="AV445" s="426"/>
      <c r="AY445" s="427" t="s">
        <v>1559</v>
      </c>
      <c r="AZ445" s="373"/>
      <c r="BB445" s="374" t="s">
        <v>2214</v>
      </c>
      <c r="BC445" s="445"/>
      <c r="BE445" s="448">
        <v>0</v>
      </c>
      <c r="BF445" s="449">
        <v>0</v>
      </c>
      <c r="BG445" s="428" t="s">
        <v>1764</v>
      </c>
      <c r="BH445" s="445"/>
      <c r="BI445" s="491"/>
      <c r="BJ445" s="491">
        <v>2</v>
      </c>
      <c r="BK445" s="445" t="s">
        <v>3149</v>
      </c>
      <c r="BL445" s="419" t="s">
        <v>3150</v>
      </c>
      <c r="BM445" s="445"/>
      <c r="BN445" s="419" t="s">
        <v>1765</v>
      </c>
      <c r="BO445" s="419" t="s">
        <v>1765</v>
      </c>
      <c r="BP445" s="419" t="s">
        <v>1765</v>
      </c>
      <c r="BQ445" s="419" t="s">
        <v>1269</v>
      </c>
      <c r="BR445" s="419"/>
      <c r="BS445" s="419"/>
      <c r="BT445" s="445"/>
      <c r="BU445" s="445"/>
      <c r="BV445" s="445"/>
      <c r="BW445" s="445" t="s">
        <v>2327</v>
      </c>
      <c r="BX445" s="445"/>
      <c r="BY445" s="445"/>
    </row>
    <row r="446" spans="1:77" ht="15">
      <c r="A446" s="370" t="s">
        <v>1269</v>
      </c>
      <c r="B446" s="415" t="s">
        <v>19</v>
      </c>
      <c r="C446" s="416" t="s">
        <v>2131</v>
      </c>
      <c r="D446" s="444">
        <v>0</v>
      </c>
      <c r="E446" s="415" t="s">
        <v>1716</v>
      </c>
      <c r="F446" s="444">
        <v>3</v>
      </c>
      <c r="G446" s="415" t="s">
        <v>1661</v>
      </c>
      <c r="H446" s="444">
        <v>47</v>
      </c>
      <c r="I446" s="417" t="s">
        <v>1436</v>
      </c>
      <c r="J446" s="444">
        <v>0.05</v>
      </c>
      <c r="K446" s="444">
        <v>19</v>
      </c>
      <c r="L446" s="444">
        <v>0</v>
      </c>
      <c r="M446" s="444">
        <v>0</v>
      </c>
      <c r="N446" s="444">
        <v>1</v>
      </c>
      <c r="O446" s="444">
        <v>0</v>
      </c>
      <c r="P446" s="444">
        <v>0</v>
      </c>
      <c r="Q446" s="444">
        <v>0</v>
      </c>
      <c r="R446" s="444">
        <v>0</v>
      </c>
      <c r="S446" s="444">
        <v>0</v>
      </c>
      <c r="T446" s="444">
        <v>4</v>
      </c>
      <c r="U446" s="444">
        <v>0</v>
      </c>
      <c r="V446" s="444">
        <v>0</v>
      </c>
      <c r="W446" s="444">
        <v>0</v>
      </c>
      <c r="X446" s="418"/>
      <c r="Y446" s="445"/>
      <c r="Z446" s="420"/>
      <c r="AA446" s="421">
        <v>87.097999999999999</v>
      </c>
      <c r="AB446" s="421">
        <v>28.722000000000001</v>
      </c>
      <c r="AC446" s="454">
        <v>1</v>
      </c>
      <c r="AE446" s="419" t="s">
        <v>2343</v>
      </c>
      <c r="AF446" s="454">
        <v>1</v>
      </c>
      <c r="AG446" s="441">
        <v>43101</v>
      </c>
      <c r="AJ446" s="442">
        <v>43283</v>
      </c>
      <c r="AL446" s="424" t="s">
        <v>1037</v>
      </c>
      <c r="AO446" s="445"/>
      <c r="AP446" s="454">
        <v>556707</v>
      </c>
      <c r="AQ446" s="443">
        <v>43250</v>
      </c>
      <c r="AT446" s="426"/>
      <c r="AU446" s="426"/>
      <c r="AV446" s="426"/>
      <c r="AY446" s="427" t="s">
        <v>1559</v>
      </c>
      <c r="AZ446" s="373"/>
      <c r="BB446" s="374" t="s">
        <v>2214</v>
      </c>
      <c r="BC446" s="445"/>
      <c r="BE446" s="448">
        <v>0</v>
      </c>
      <c r="BF446" s="449">
        <v>0</v>
      </c>
      <c r="BG446" s="428" t="s">
        <v>1764</v>
      </c>
      <c r="BH446" s="445"/>
      <c r="BI446" s="491"/>
      <c r="BJ446" s="491">
        <v>3</v>
      </c>
      <c r="BK446" s="445" t="s">
        <v>3151</v>
      </c>
      <c r="BL446" s="419" t="s">
        <v>3152</v>
      </c>
      <c r="BM446" s="445"/>
      <c r="BN446" s="419" t="s">
        <v>1765</v>
      </c>
      <c r="BO446" s="419" t="s">
        <v>1765</v>
      </c>
      <c r="BP446" s="419" t="s">
        <v>1765</v>
      </c>
      <c r="BQ446" s="419" t="s">
        <v>1269</v>
      </c>
      <c r="BR446" s="419"/>
      <c r="BS446" s="419"/>
      <c r="BT446" s="445"/>
      <c r="BU446" s="445"/>
      <c r="BV446" s="445"/>
      <c r="BW446" s="445" t="s">
        <v>2327</v>
      </c>
      <c r="BX446" s="445"/>
      <c r="BY446" s="445"/>
    </row>
    <row r="447" spans="1:77" ht="15">
      <c r="A447" s="370" t="s">
        <v>1269</v>
      </c>
      <c r="B447" s="415" t="s">
        <v>19</v>
      </c>
      <c r="C447" s="416" t="s">
        <v>2131</v>
      </c>
      <c r="D447" s="444">
        <v>0</v>
      </c>
      <c r="E447" s="415" t="s">
        <v>1716</v>
      </c>
      <c r="F447" s="444">
        <v>3</v>
      </c>
      <c r="G447" s="415" t="s">
        <v>1661</v>
      </c>
      <c r="H447" s="444">
        <v>48</v>
      </c>
      <c r="I447" s="417" t="s">
        <v>1422</v>
      </c>
      <c r="J447" s="444">
        <v>0.05</v>
      </c>
      <c r="K447" s="444">
        <v>43</v>
      </c>
      <c r="L447" s="444">
        <v>0</v>
      </c>
      <c r="M447" s="444">
        <v>0</v>
      </c>
      <c r="N447" s="444">
        <v>2</v>
      </c>
      <c r="O447" s="444">
        <v>0</v>
      </c>
      <c r="P447" s="444">
        <v>0</v>
      </c>
      <c r="Q447" s="444">
        <v>0</v>
      </c>
      <c r="R447" s="444">
        <v>0</v>
      </c>
      <c r="S447" s="444">
        <v>0</v>
      </c>
      <c r="T447" s="444">
        <v>10</v>
      </c>
      <c r="U447" s="444">
        <v>0</v>
      </c>
      <c r="V447" s="444">
        <v>0</v>
      </c>
      <c r="W447" s="444">
        <v>0</v>
      </c>
      <c r="X447" s="418"/>
      <c r="Y447" s="445"/>
      <c r="Z447" s="420"/>
      <c r="AA447" s="421">
        <v>88.251999999999995</v>
      </c>
      <c r="AB447" s="421">
        <v>28.722000000000001</v>
      </c>
      <c r="AC447" s="454">
        <v>0</v>
      </c>
      <c r="AE447" s="419" t="s">
        <v>2344</v>
      </c>
      <c r="AF447" s="454">
        <v>1</v>
      </c>
      <c r="AG447" s="441">
        <v>43101</v>
      </c>
      <c r="AJ447" s="442">
        <v>43283</v>
      </c>
      <c r="AL447" s="424" t="s">
        <v>1037</v>
      </c>
      <c r="AO447" s="445"/>
      <c r="AP447" s="454">
        <v>556707</v>
      </c>
      <c r="AQ447" s="443">
        <v>43250</v>
      </c>
      <c r="AT447" s="426"/>
      <c r="AU447" s="426"/>
      <c r="AV447" s="426"/>
      <c r="AY447" s="427" t="s">
        <v>1559</v>
      </c>
      <c r="AZ447" s="373"/>
      <c r="BB447" s="374" t="s">
        <v>2214</v>
      </c>
      <c r="BC447" s="445"/>
      <c r="BE447" s="448">
        <v>0</v>
      </c>
      <c r="BF447" s="449">
        <v>0</v>
      </c>
      <c r="BG447" s="428" t="s">
        <v>1764</v>
      </c>
      <c r="BH447" s="445"/>
      <c r="BI447" s="491"/>
      <c r="BJ447" s="491">
        <v>4</v>
      </c>
      <c r="BK447" s="445" t="s">
        <v>3153</v>
      </c>
      <c r="BL447" s="419" t="s">
        <v>3154</v>
      </c>
      <c r="BM447" s="445"/>
      <c r="BN447" s="419" t="s">
        <v>1765</v>
      </c>
      <c r="BO447" s="419" t="s">
        <v>1765</v>
      </c>
      <c r="BP447" s="419" t="s">
        <v>1765</v>
      </c>
      <c r="BQ447" s="419" t="s">
        <v>1269</v>
      </c>
      <c r="BR447" s="419"/>
      <c r="BS447" s="419"/>
      <c r="BT447" s="445"/>
      <c r="BU447" s="445"/>
      <c r="BV447" s="445"/>
      <c r="BW447" s="445" t="s">
        <v>2327</v>
      </c>
      <c r="BX447" s="445"/>
      <c r="BY447" s="445"/>
    </row>
    <row r="448" spans="1:77" ht="15">
      <c r="A448" s="370" t="s">
        <v>1269</v>
      </c>
      <c r="B448" s="415" t="s">
        <v>19</v>
      </c>
      <c r="C448" s="416" t="s">
        <v>2131</v>
      </c>
      <c r="D448" s="444">
        <v>0</v>
      </c>
      <c r="E448" s="415" t="s">
        <v>1716</v>
      </c>
      <c r="F448" s="444">
        <v>3</v>
      </c>
      <c r="G448" s="415" t="s">
        <v>1661</v>
      </c>
      <c r="H448" s="444">
        <v>72</v>
      </c>
      <c r="I448" s="417" t="s">
        <v>1663</v>
      </c>
      <c r="J448" s="444">
        <v>0.03</v>
      </c>
      <c r="K448" s="444">
        <v>6</v>
      </c>
      <c r="L448" s="444">
        <v>0</v>
      </c>
      <c r="M448" s="444">
        <v>0</v>
      </c>
      <c r="N448" s="444">
        <v>1</v>
      </c>
      <c r="O448" s="444">
        <v>0</v>
      </c>
      <c r="P448" s="444">
        <v>0</v>
      </c>
      <c r="Q448" s="444">
        <v>0</v>
      </c>
      <c r="R448" s="444">
        <v>0</v>
      </c>
      <c r="S448" s="444">
        <v>0</v>
      </c>
      <c r="T448" s="444">
        <v>2</v>
      </c>
      <c r="U448" s="444">
        <v>0</v>
      </c>
      <c r="V448" s="444">
        <v>0</v>
      </c>
      <c r="W448" s="444">
        <v>0</v>
      </c>
      <c r="X448" s="418"/>
      <c r="Y448" s="445"/>
      <c r="Z448" s="420"/>
      <c r="AA448" s="421">
        <v>69.162000000000006</v>
      </c>
      <c r="AB448" s="421">
        <v>28.722000000000001</v>
      </c>
      <c r="AC448" s="454">
        <v>0</v>
      </c>
      <c r="AE448" s="419" t="s">
        <v>2345</v>
      </c>
      <c r="AF448" s="454">
        <v>1</v>
      </c>
      <c r="AG448" s="441">
        <v>43101</v>
      </c>
      <c r="AJ448" s="442">
        <v>43283</v>
      </c>
      <c r="AL448" s="424" t="s">
        <v>1037</v>
      </c>
      <c r="AO448" s="445"/>
      <c r="AP448" s="454">
        <v>556707</v>
      </c>
      <c r="AQ448" s="443">
        <v>43250</v>
      </c>
      <c r="AT448" s="426"/>
      <c r="AU448" s="426"/>
      <c r="AV448" s="426"/>
      <c r="AY448" s="427" t="s">
        <v>1559</v>
      </c>
      <c r="AZ448" s="373"/>
      <c r="BB448" s="374" t="s">
        <v>2214</v>
      </c>
      <c r="BC448" s="445"/>
      <c r="BE448" s="448">
        <v>0</v>
      </c>
      <c r="BF448" s="449">
        <v>0</v>
      </c>
      <c r="BG448" s="428" t="s">
        <v>1764</v>
      </c>
      <c r="BH448" s="445"/>
      <c r="BI448" s="491"/>
      <c r="BJ448" s="491">
        <v>5</v>
      </c>
      <c r="BK448" s="445" t="s">
        <v>3155</v>
      </c>
      <c r="BL448" s="419" t="s">
        <v>3156</v>
      </c>
      <c r="BM448" s="445"/>
      <c r="BN448" s="419" t="s">
        <v>1765</v>
      </c>
      <c r="BO448" s="419" t="s">
        <v>1765</v>
      </c>
      <c r="BP448" s="419" t="s">
        <v>1765</v>
      </c>
      <c r="BQ448" s="419" t="s">
        <v>1269</v>
      </c>
      <c r="BR448" s="419"/>
      <c r="BS448" s="419"/>
      <c r="BT448" s="445"/>
      <c r="BU448" s="445"/>
      <c r="BV448" s="445"/>
      <c r="BW448" s="445" t="s">
        <v>2327</v>
      </c>
      <c r="BX448" s="445"/>
      <c r="BY448" s="445"/>
    </row>
    <row r="449" spans="1:77" ht="15">
      <c r="A449" s="370" t="s">
        <v>1269</v>
      </c>
      <c r="B449" s="415" t="s">
        <v>19</v>
      </c>
      <c r="C449" s="416" t="s">
        <v>2131</v>
      </c>
      <c r="D449" s="444">
        <v>0</v>
      </c>
      <c r="E449" s="415" t="s">
        <v>1716</v>
      </c>
      <c r="F449" s="444">
        <v>3</v>
      </c>
      <c r="G449" s="415" t="s">
        <v>1661</v>
      </c>
      <c r="H449" s="444">
        <v>75</v>
      </c>
      <c r="I449" s="417" t="s">
        <v>1428</v>
      </c>
      <c r="J449" s="444">
        <v>0.5</v>
      </c>
      <c r="K449" s="444">
        <v>75</v>
      </c>
      <c r="L449" s="444">
        <v>0</v>
      </c>
      <c r="M449" s="444">
        <v>0</v>
      </c>
      <c r="N449" s="444">
        <v>7</v>
      </c>
      <c r="O449" s="444">
        <v>0</v>
      </c>
      <c r="P449" s="444">
        <v>0</v>
      </c>
      <c r="Q449" s="444">
        <v>0</v>
      </c>
      <c r="R449" s="444">
        <v>0</v>
      </c>
      <c r="S449" s="444">
        <v>0</v>
      </c>
      <c r="T449" s="444">
        <v>26</v>
      </c>
      <c r="U449" s="444">
        <v>0</v>
      </c>
      <c r="V449" s="444">
        <v>0</v>
      </c>
      <c r="W449" s="444">
        <v>0</v>
      </c>
      <c r="X449" s="418"/>
      <c r="Y449" s="445"/>
      <c r="Z449" s="420"/>
      <c r="AA449" s="421">
        <v>73.385000000000005</v>
      </c>
      <c r="AB449" s="421">
        <v>28.722000000000001</v>
      </c>
      <c r="AC449" s="454">
        <v>0</v>
      </c>
      <c r="AE449" s="445" t="s">
        <v>2346</v>
      </c>
      <c r="AF449" s="454">
        <v>1</v>
      </c>
      <c r="AG449" s="441">
        <v>43101</v>
      </c>
      <c r="AJ449" s="442">
        <v>43283</v>
      </c>
      <c r="AL449" s="446" t="s">
        <v>1037</v>
      </c>
      <c r="AO449" s="445"/>
      <c r="AP449" s="454">
        <v>556707</v>
      </c>
      <c r="AQ449" s="443">
        <v>43250</v>
      </c>
      <c r="AT449" s="447"/>
      <c r="AU449" s="447"/>
      <c r="AV449" s="447"/>
      <c r="AY449" s="427" t="s">
        <v>1559</v>
      </c>
      <c r="AZ449" s="373"/>
      <c r="BB449" s="374" t="s">
        <v>2214</v>
      </c>
      <c r="BC449" s="445"/>
      <c r="BE449" s="448">
        <v>0</v>
      </c>
      <c r="BF449" s="449">
        <v>0</v>
      </c>
      <c r="BG449" s="450" t="s">
        <v>1764</v>
      </c>
      <c r="BH449" s="445"/>
      <c r="BI449" s="491"/>
      <c r="BJ449" s="491">
        <v>6</v>
      </c>
      <c r="BK449" s="445" t="s">
        <v>3157</v>
      </c>
      <c r="BL449" s="445" t="s">
        <v>3158</v>
      </c>
      <c r="BM449" s="445"/>
      <c r="BN449" s="445" t="s">
        <v>1765</v>
      </c>
      <c r="BO449" s="445" t="s">
        <v>1765</v>
      </c>
      <c r="BP449" s="445" t="s">
        <v>1765</v>
      </c>
      <c r="BQ449" s="445" t="s">
        <v>1269</v>
      </c>
      <c r="BR449" s="445"/>
      <c r="BS449" s="445"/>
      <c r="BT449" s="445"/>
      <c r="BU449" s="445"/>
      <c r="BV449" s="445"/>
      <c r="BW449" s="445" t="s">
        <v>2327</v>
      </c>
      <c r="BX449" s="445"/>
      <c r="BY449" s="445"/>
    </row>
    <row r="450" spans="1:77" ht="15">
      <c r="A450" s="370" t="s">
        <v>1783</v>
      </c>
      <c r="B450" s="415" t="s">
        <v>19</v>
      </c>
      <c r="C450" s="416" t="s">
        <v>2081</v>
      </c>
      <c r="D450" s="444">
        <v>0</v>
      </c>
      <c r="E450" s="415" t="s">
        <v>1749</v>
      </c>
      <c r="F450" s="444">
        <v>3</v>
      </c>
      <c r="G450" s="415" t="s">
        <v>1750</v>
      </c>
      <c r="H450" s="444">
        <v>94</v>
      </c>
      <c r="I450" s="417" t="s">
        <v>1664</v>
      </c>
      <c r="J450" s="444">
        <v>5.4</v>
      </c>
      <c r="K450" s="444">
        <v>450</v>
      </c>
      <c r="L450" s="444"/>
      <c r="M450" s="444">
        <v>0</v>
      </c>
      <c r="N450" s="444">
        <v>100</v>
      </c>
      <c r="O450" s="444"/>
      <c r="P450" s="444"/>
      <c r="Q450" s="444">
        <v>0</v>
      </c>
      <c r="R450" s="444"/>
      <c r="S450" s="444">
        <v>0</v>
      </c>
      <c r="T450" s="444">
        <v>0</v>
      </c>
      <c r="U450" s="444"/>
      <c r="V450" s="444">
        <v>0</v>
      </c>
      <c r="W450" s="444">
        <v>0</v>
      </c>
      <c r="X450" s="418"/>
      <c r="Y450" s="445"/>
      <c r="Z450" s="420"/>
      <c r="AA450" s="421">
        <v>309.8</v>
      </c>
      <c r="AB450" s="421"/>
      <c r="AC450" s="454">
        <v>23</v>
      </c>
      <c r="AE450" s="445" t="s">
        <v>2347</v>
      </c>
      <c r="AF450" s="454">
        <v>1</v>
      </c>
      <c r="AG450" s="441">
        <v>43101</v>
      </c>
      <c r="AJ450" s="442">
        <v>43283</v>
      </c>
      <c r="AL450" s="446" t="s">
        <v>912</v>
      </c>
      <c r="AO450" s="445"/>
      <c r="AP450" s="454">
        <v>556671</v>
      </c>
      <c r="AQ450" s="443">
        <v>43201</v>
      </c>
      <c r="AR450" s="370">
        <v>0.3</v>
      </c>
      <c r="AT450" s="447"/>
      <c r="AU450" s="447"/>
      <c r="AV450" s="447"/>
      <c r="AY450" s="427" t="s">
        <v>1559</v>
      </c>
      <c r="AZ450" s="373"/>
      <c r="BB450" s="374" t="s">
        <v>2214</v>
      </c>
      <c r="BC450" s="445"/>
      <c r="BE450" s="448"/>
      <c r="BF450" s="449"/>
      <c r="BG450" s="450"/>
      <c r="BH450" s="445"/>
      <c r="BI450" s="491"/>
      <c r="BJ450" s="491">
        <v>12</v>
      </c>
      <c r="BK450" s="445" t="s">
        <v>372</v>
      </c>
      <c r="BL450" s="445" t="s">
        <v>3159</v>
      </c>
      <c r="BM450" s="445"/>
      <c r="BN450" s="445"/>
      <c r="BO450" s="445"/>
      <c r="BP450" s="445"/>
      <c r="BQ450" s="445" t="s">
        <v>1783</v>
      </c>
      <c r="BR450" s="445">
        <v>2</v>
      </c>
      <c r="BS450" s="445"/>
      <c r="BT450" s="445"/>
      <c r="BU450" s="445"/>
      <c r="BV450" s="445"/>
      <c r="BW450" s="445" t="s">
        <v>2327</v>
      </c>
      <c r="BX450" s="445"/>
      <c r="BY450" s="445"/>
    </row>
    <row r="451" spans="1:77" ht="15">
      <c r="A451" s="370" t="s">
        <v>1783</v>
      </c>
      <c r="B451" s="415" t="s">
        <v>19</v>
      </c>
      <c r="C451" s="416" t="s">
        <v>2093</v>
      </c>
      <c r="D451" s="444">
        <v>0</v>
      </c>
      <c r="E451" s="415" t="s">
        <v>1749</v>
      </c>
      <c r="F451" s="444">
        <v>3</v>
      </c>
      <c r="G451" s="415" t="s">
        <v>1750</v>
      </c>
      <c r="H451" s="444">
        <v>19</v>
      </c>
      <c r="I451" s="417" t="s">
        <v>1768</v>
      </c>
      <c r="J451" s="444">
        <v>1.3</v>
      </c>
      <c r="K451" s="444">
        <v>450</v>
      </c>
      <c r="L451" s="444"/>
      <c r="M451" s="444">
        <v>0</v>
      </c>
      <c r="N451" s="444">
        <v>20</v>
      </c>
      <c r="O451" s="444"/>
      <c r="P451" s="444"/>
      <c r="Q451" s="444">
        <v>0</v>
      </c>
      <c r="R451" s="444"/>
      <c r="S451" s="444">
        <v>0</v>
      </c>
      <c r="T451" s="444">
        <v>0</v>
      </c>
      <c r="U451" s="444"/>
      <c r="V451" s="444">
        <v>0</v>
      </c>
      <c r="W451" s="444">
        <v>0</v>
      </c>
      <c r="X451" s="418"/>
      <c r="Y451" s="445"/>
      <c r="Z451" s="420"/>
      <c r="AA451" s="421">
        <v>309.89999999999998</v>
      </c>
      <c r="AB451" s="421"/>
      <c r="AC451" s="454">
        <v>23</v>
      </c>
      <c r="AE451" s="445" t="s">
        <v>2348</v>
      </c>
      <c r="AF451" s="454">
        <v>1</v>
      </c>
      <c r="AG451" s="441">
        <v>43101</v>
      </c>
      <c r="AJ451" s="442">
        <v>43283</v>
      </c>
      <c r="AL451" s="446" t="s">
        <v>999</v>
      </c>
      <c r="AO451" s="445"/>
      <c r="AP451" s="454">
        <v>556708</v>
      </c>
      <c r="AQ451" s="443">
        <v>43256</v>
      </c>
      <c r="AR451" s="370">
        <v>0.3</v>
      </c>
      <c r="AT451" s="447"/>
      <c r="AU451" s="447"/>
      <c r="AV451" s="447"/>
      <c r="AY451" s="427" t="s">
        <v>1559</v>
      </c>
      <c r="AZ451" s="373"/>
      <c r="BB451" s="374" t="s">
        <v>2214</v>
      </c>
      <c r="BC451" s="445"/>
      <c r="BE451" s="448"/>
      <c r="BF451" s="449"/>
      <c r="BG451" s="450"/>
      <c r="BH451" s="445"/>
      <c r="BI451" s="491"/>
      <c r="BJ451" s="491">
        <v>13</v>
      </c>
      <c r="BK451" s="445" t="s">
        <v>3160</v>
      </c>
      <c r="BL451" s="445" t="s">
        <v>3161</v>
      </c>
      <c r="BM451" s="445"/>
      <c r="BN451" s="445"/>
      <c r="BO451" s="445"/>
      <c r="BP451" s="445"/>
      <c r="BQ451" s="445" t="s">
        <v>1783</v>
      </c>
      <c r="BR451" s="445">
        <v>2</v>
      </c>
      <c r="BS451" s="445"/>
      <c r="BT451" s="445"/>
      <c r="BU451" s="445"/>
      <c r="BV451" s="445"/>
      <c r="BW451" s="445" t="s">
        <v>2327</v>
      </c>
      <c r="BX451" s="445"/>
      <c r="BY451" s="445"/>
    </row>
    <row r="452" spans="1:77" ht="15">
      <c r="A452" s="370" t="s">
        <v>1783</v>
      </c>
      <c r="B452" s="415" t="s">
        <v>85</v>
      </c>
      <c r="C452" s="416" t="s">
        <v>2081</v>
      </c>
      <c r="D452" s="444">
        <v>0</v>
      </c>
      <c r="E452" s="415" t="s">
        <v>1749</v>
      </c>
      <c r="F452" s="444">
        <v>3</v>
      </c>
      <c r="G452" s="415" t="s">
        <v>1750</v>
      </c>
      <c r="H452" s="444">
        <v>114</v>
      </c>
      <c r="I452" s="417" t="s">
        <v>1660</v>
      </c>
      <c r="J452" s="444">
        <v>3.7</v>
      </c>
      <c r="K452" s="444">
        <v>450</v>
      </c>
      <c r="L452" s="444"/>
      <c r="M452" s="444">
        <v>0</v>
      </c>
      <c r="N452" s="444">
        <v>430</v>
      </c>
      <c r="O452" s="444"/>
      <c r="P452" s="444"/>
      <c r="Q452" s="444">
        <v>0</v>
      </c>
      <c r="R452" s="444"/>
      <c r="S452" s="444">
        <v>0</v>
      </c>
      <c r="T452" s="444">
        <v>0</v>
      </c>
      <c r="U452" s="444"/>
      <c r="V452" s="444">
        <v>0</v>
      </c>
      <c r="W452" s="444">
        <v>0</v>
      </c>
      <c r="X452" s="418"/>
      <c r="Y452" s="445"/>
      <c r="Z452" s="420"/>
      <c r="AA452" s="421">
        <v>185.62</v>
      </c>
      <c r="AB452" s="421"/>
      <c r="AC452" s="454">
        <v>23</v>
      </c>
      <c r="AE452" s="445" t="s">
        <v>2350</v>
      </c>
      <c r="AF452" s="454">
        <v>1</v>
      </c>
      <c r="AG452" s="441">
        <v>43101</v>
      </c>
      <c r="AJ452" s="442">
        <v>43283</v>
      </c>
      <c r="AL452" s="446" t="s">
        <v>2351</v>
      </c>
      <c r="AO452" s="445"/>
      <c r="AP452" s="454">
        <v>556667</v>
      </c>
      <c r="AQ452" s="443">
        <v>43192</v>
      </c>
      <c r="AR452" s="370">
        <v>0.3</v>
      </c>
      <c r="AT452" s="447"/>
      <c r="AU452" s="447"/>
      <c r="AV452" s="447"/>
      <c r="AY452" s="427" t="s">
        <v>1717</v>
      </c>
      <c r="AZ452" s="373"/>
      <c r="BB452" s="374" t="s">
        <v>1727</v>
      </c>
      <c r="BC452" s="445"/>
      <c r="BE452" s="448"/>
      <c r="BF452" s="449"/>
      <c r="BG452" s="450"/>
      <c r="BH452" s="445"/>
      <c r="BI452" s="491"/>
      <c r="BJ452" s="491">
        <v>1</v>
      </c>
      <c r="BK452" s="445" t="s">
        <v>3162</v>
      </c>
      <c r="BL452" s="445" t="s">
        <v>3163</v>
      </c>
      <c r="BM452" s="445"/>
      <c r="BN452" s="445"/>
      <c r="BO452" s="445"/>
      <c r="BP452" s="445"/>
      <c r="BQ452" s="445" t="s">
        <v>1783</v>
      </c>
      <c r="BR452" s="445">
        <v>2</v>
      </c>
      <c r="BS452" s="445"/>
      <c r="BT452" s="445"/>
      <c r="BU452" s="445"/>
      <c r="BV452" s="445"/>
      <c r="BW452" s="445" t="s">
        <v>2327</v>
      </c>
      <c r="BX452" s="445"/>
      <c r="BY452" s="445"/>
    </row>
    <row r="453" spans="1:77" ht="15">
      <c r="A453" s="370" t="s">
        <v>1783</v>
      </c>
      <c r="B453" s="415" t="s">
        <v>216</v>
      </c>
      <c r="C453" s="416" t="s">
        <v>2081</v>
      </c>
      <c r="D453" s="444">
        <v>0</v>
      </c>
      <c r="E453" s="415" t="s">
        <v>1749</v>
      </c>
      <c r="F453" s="444">
        <v>3</v>
      </c>
      <c r="G453" s="415" t="s">
        <v>1750</v>
      </c>
      <c r="H453" s="444">
        <v>60</v>
      </c>
      <c r="I453" s="417" t="s">
        <v>1660</v>
      </c>
      <c r="J453" s="444">
        <v>3</v>
      </c>
      <c r="K453" s="444">
        <v>450</v>
      </c>
      <c r="L453" s="444"/>
      <c r="M453" s="444">
        <v>0</v>
      </c>
      <c r="N453" s="444">
        <v>90</v>
      </c>
      <c r="O453" s="444"/>
      <c r="P453" s="444"/>
      <c r="Q453" s="444">
        <v>50</v>
      </c>
      <c r="R453" s="444"/>
      <c r="S453" s="444">
        <v>0</v>
      </c>
      <c r="T453" s="444">
        <v>0</v>
      </c>
      <c r="U453" s="444"/>
      <c r="V453" s="444">
        <v>0</v>
      </c>
      <c r="W453" s="444">
        <v>0</v>
      </c>
      <c r="X453" s="418"/>
      <c r="Y453" s="445"/>
      <c r="Z453" s="420"/>
      <c r="AA453" s="421">
        <v>239.58</v>
      </c>
      <c r="AB453" s="421"/>
      <c r="AC453" s="454">
        <v>23</v>
      </c>
      <c r="AE453" s="445" t="s">
        <v>2352</v>
      </c>
      <c r="AF453" s="454">
        <v>1</v>
      </c>
      <c r="AG453" s="441">
        <v>43101</v>
      </c>
      <c r="AJ453" s="442">
        <v>43283</v>
      </c>
      <c r="AL453" s="446" t="s">
        <v>1019</v>
      </c>
      <c r="AO453" s="445"/>
      <c r="AP453" s="454">
        <v>556665</v>
      </c>
      <c r="AQ453" s="443">
        <v>43192</v>
      </c>
      <c r="AR453" s="370">
        <v>0.4</v>
      </c>
      <c r="AT453" s="447"/>
      <c r="AU453" s="447"/>
      <c r="AV453" s="447"/>
      <c r="AY453" s="427" t="s">
        <v>1559</v>
      </c>
      <c r="AZ453" s="373"/>
      <c r="BB453" s="374" t="s">
        <v>2214</v>
      </c>
      <c r="BC453" s="445"/>
      <c r="BE453" s="448"/>
      <c r="BF453" s="449"/>
      <c r="BG453" s="450"/>
      <c r="BH453" s="445"/>
      <c r="BI453" s="491"/>
      <c r="BJ453" s="491">
        <v>16</v>
      </c>
      <c r="BK453" s="445" t="s">
        <v>3058</v>
      </c>
      <c r="BL453" s="445" t="s">
        <v>3164</v>
      </c>
      <c r="BM453" s="445"/>
      <c r="BN453" s="445"/>
      <c r="BO453" s="445"/>
      <c r="BP453" s="445"/>
      <c r="BQ453" s="445" t="s">
        <v>1783</v>
      </c>
      <c r="BR453" s="445">
        <v>2</v>
      </c>
      <c r="BS453" s="445"/>
      <c r="BT453" s="445"/>
      <c r="BU453" s="445"/>
      <c r="BV453" s="445"/>
      <c r="BW453" s="445" t="s">
        <v>2327</v>
      </c>
      <c r="BX453" s="445"/>
      <c r="BY453" s="445"/>
    </row>
    <row r="454" spans="1:77" ht="15">
      <c r="A454" s="370" t="s">
        <v>1783</v>
      </c>
      <c r="B454" s="415" t="s">
        <v>216</v>
      </c>
      <c r="C454" s="416" t="s">
        <v>2081</v>
      </c>
      <c r="D454" s="444">
        <v>0</v>
      </c>
      <c r="E454" s="415" t="s">
        <v>1749</v>
      </c>
      <c r="F454" s="444">
        <v>3</v>
      </c>
      <c r="G454" s="415" t="s">
        <v>1750</v>
      </c>
      <c r="H454" s="444">
        <v>2</v>
      </c>
      <c r="I454" s="417" t="s">
        <v>1659</v>
      </c>
      <c r="J454" s="444">
        <v>1.7</v>
      </c>
      <c r="K454" s="444">
        <v>450</v>
      </c>
      <c r="L454" s="444"/>
      <c r="M454" s="444">
        <v>0</v>
      </c>
      <c r="N454" s="444">
        <v>240</v>
      </c>
      <c r="O454" s="444"/>
      <c r="P454" s="444"/>
      <c r="Q454" s="444">
        <v>0</v>
      </c>
      <c r="R454" s="444"/>
      <c r="S454" s="444">
        <v>0</v>
      </c>
      <c r="T454" s="444">
        <v>0</v>
      </c>
      <c r="U454" s="444"/>
      <c r="V454" s="444">
        <v>0</v>
      </c>
      <c r="W454" s="444">
        <v>0</v>
      </c>
      <c r="X454" s="418"/>
      <c r="Y454" s="445"/>
      <c r="Z454" s="420"/>
      <c r="AA454" s="421">
        <v>185.62</v>
      </c>
      <c r="AB454" s="421"/>
      <c r="AC454" s="454">
        <v>23</v>
      </c>
      <c r="AE454" s="445" t="s">
        <v>2352</v>
      </c>
      <c r="AF454" s="454">
        <v>1</v>
      </c>
      <c r="AG454" s="441">
        <v>43101</v>
      </c>
      <c r="AJ454" s="442">
        <v>43283</v>
      </c>
      <c r="AL454" s="446" t="s">
        <v>1018</v>
      </c>
      <c r="AO454" s="445"/>
      <c r="AP454" s="454">
        <v>556665</v>
      </c>
      <c r="AQ454" s="443">
        <v>43192</v>
      </c>
      <c r="AR454" s="370">
        <v>0.3</v>
      </c>
      <c r="AT454" s="447"/>
      <c r="AU454" s="447"/>
      <c r="AV454" s="447"/>
      <c r="AY454" s="427" t="s">
        <v>1559</v>
      </c>
      <c r="AZ454" s="373"/>
      <c r="BB454" s="374" t="s">
        <v>2214</v>
      </c>
      <c r="BC454" s="445"/>
      <c r="BE454" s="448"/>
      <c r="BF454" s="449"/>
      <c r="BG454" s="450"/>
      <c r="BH454" s="445"/>
      <c r="BI454" s="491"/>
      <c r="BJ454" s="491">
        <v>17</v>
      </c>
      <c r="BK454" s="445" t="s">
        <v>3165</v>
      </c>
      <c r="BL454" s="445" t="s">
        <v>3166</v>
      </c>
      <c r="BM454" s="445"/>
      <c r="BN454" s="445"/>
      <c r="BO454" s="445"/>
      <c r="BP454" s="445"/>
      <c r="BQ454" s="445" t="s">
        <v>1783</v>
      </c>
      <c r="BR454" s="445">
        <v>2</v>
      </c>
      <c r="BS454" s="445"/>
      <c r="BT454" s="445"/>
      <c r="BU454" s="445"/>
      <c r="BV454" s="445"/>
      <c r="BW454" s="445" t="s">
        <v>2327</v>
      </c>
      <c r="BX454" s="445"/>
      <c r="BY454" s="445"/>
    </row>
    <row r="455" spans="1:77" ht="15">
      <c r="A455" s="370" t="s">
        <v>1783</v>
      </c>
      <c r="B455" s="415" t="s">
        <v>216</v>
      </c>
      <c r="C455" s="416" t="s">
        <v>2081</v>
      </c>
      <c r="D455" s="444">
        <v>0</v>
      </c>
      <c r="E455" s="415" t="s">
        <v>1749</v>
      </c>
      <c r="F455" s="444">
        <v>3</v>
      </c>
      <c r="G455" s="415" t="s">
        <v>1750</v>
      </c>
      <c r="H455" s="444">
        <v>93</v>
      </c>
      <c r="I455" s="417" t="s">
        <v>1632</v>
      </c>
      <c r="J455" s="444">
        <v>0.6</v>
      </c>
      <c r="K455" s="444">
        <v>450</v>
      </c>
      <c r="L455" s="444"/>
      <c r="M455" s="444">
        <v>0</v>
      </c>
      <c r="N455" s="444">
        <v>30</v>
      </c>
      <c r="O455" s="444"/>
      <c r="P455" s="444"/>
      <c r="Q455" s="444">
        <v>0</v>
      </c>
      <c r="R455" s="444"/>
      <c r="S455" s="444">
        <v>0</v>
      </c>
      <c r="T455" s="444">
        <v>0</v>
      </c>
      <c r="U455" s="444"/>
      <c r="V455" s="444">
        <v>0</v>
      </c>
      <c r="W455" s="444">
        <v>0</v>
      </c>
      <c r="X455" s="418"/>
      <c r="Y455" s="445"/>
      <c r="Z455" s="420"/>
      <c r="AA455" s="421">
        <v>229.39</v>
      </c>
      <c r="AB455" s="421"/>
      <c r="AC455" s="454">
        <v>23</v>
      </c>
      <c r="AE455" s="445" t="s">
        <v>2353</v>
      </c>
      <c r="AF455" s="454">
        <v>1</v>
      </c>
      <c r="AG455" s="441">
        <v>43101</v>
      </c>
      <c r="AJ455" s="442">
        <v>43283</v>
      </c>
      <c r="AL455" s="446" t="s">
        <v>1019</v>
      </c>
      <c r="AO455" s="445"/>
      <c r="AP455" s="454">
        <v>556665</v>
      </c>
      <c r="AQ455" s="443">
        <v>43192</v>
      </c>
      <c r="AR455" s="370">
        <v>0.3</v>
      </c>
      <c r="AT455" s="447"/>
      <c r="AU455" s="447"/>
      <c r="AV455" s="447"/>
      <c r="AY455" s="427" t="s">
        <v>1559</v>
      </c>
      <c r="AZ455" s="373"/>
      <c r="BB455" s="374" t="s">
        <v>2214</v>
      </c>
      <c r="BC455" s="445"/>
      <c r="BE455" s="448"/>
      <c r="BF455" s="449"/>
      <c r="BG455" s="450"/>
      <c r="BH455" s="445"/>
      <c r="BI455" s="491"/>
      <c r="BJ455" s="491">
        <v>18</v>
      </c>
      <c r="BK455" s="445" t="s">
        <v>153</v>
      </c>
      <c r="BL455" s="445" t="s">
        <v>3167</v>
      </c>
      <c r="BM455" s="445"/>
      <c r="BN455" s="445"/>
      <c r="BO455" s="445"/>
      <c r="BP455" s="445"/>
      <c r="BQ455" s="445" t="s">
        <v>1783</v>
      </c>
      <c r="BR455" s="445">
        <v>2</v>
      </c>
      <c r="BS455" s="445"/>
      <c r="BT455" s="445"/>
      <c r="BU455" s="445"/>
      <c r="BV455" s="445"/>
      <c r="BW455" s="445" t="s">
        <v>2327</v>
      </c>
      <c r="BX455" s="445"/>
      <c r="BY455" s="445"/>
    </row>
    <row r="456" spans="1:77" ht="15">
      <c r="A456" s="370" t="s">
        <v>1783</v>
      </c>
      <c r="B456" s="415" t="s">
        <v>216</v>
      </c>
      <c r="C456" s="416" t="s">
        <v>2081</v>
      </c>
      <c r="D456" s="444">
        <v>0</v>
      </c>
      <c r="E456" s="415" t="s">
        <v>1749</v>
      </c>
      <c r="F456" s="444">
        <v>3</v>
      </c>
      <c r="G456" s="415" t="s">
        <v>1750</v>
      </c>
      <c r="H456" s="444">
        <v>98</v>
      </c>
      <c r="I456" s="417" t="s">
        <v>1632</v>
      </c>
      <c r="J456" s="444">
        <v>5</v>
      </c>
      <c r="K456" s="444">
        <v>450</v>
      </c>
      <c r="L456" s="444"/>
      <c r="M456" s="444">
        <v>0</v>
      </c>
      <c r="N456" s="444">
        <v>750</v>
      </c>
      <c r="O456" s="444"/>
      <c r="P456" s="444"/>
      <c r="Q456" s="444">
        <v>0</v>
      </c>
      <c r="R456" s="444"/>
      <c r="S456" s="444">
        <v>0</v>
      </c>
      <c r="T456" s="444">
        <v>0</v>
      </c>
      <c r="U456" s="444"/>
      <c r="V456" s="444">
        <v>0</v>
      </c>
      <c r="W456" s="444">
        <v>0</v>
      </c>
      <c r="X456" s="418"/>
      <c r="Y456" s="445"/>
      <c r="Z456" s="420"/>
      <c r="AA456" s="421">
        <v>185.61</v>
      </c>
      <c r="AB456" s="421"/>
      <c r="AC456" s="454">
        <v>23</v>
      </c>
      <c r="AE456" s="445" t="s">
        <v>2354</v>
      </c>
      <c r="AF456" s="454">
        <v>1</v>
      </c>
      <c r="AG456" s="441">
        <v>43101</v>
      </c>
      <c r="AJ456" s="442">
        <v>43283</v>
      </c>
      <c r="AL456" s="446" t="s">
        <v>1019</v>
      </c>
      <c r="AO456" s="445"/>
      <c r="AP456" s="454">
        <v>556665</v>
      </c>
      <c r="AQ456" s="443">
        <v>43192</v>
      </c>
      <c r="AR456" s="370">
        <v>0.3</v>
      </c>
      <c r="AT456" s="447"/>
      <c r="AU456" s="447"/>
      <c r="AV456" s="447"/>
      <c r="AY456" s="427" t="s">
        <v>1559</v>
      </c>
      <c r="AZ456" s="373"/>
      <c r="BB456" s="374" t="s">
        <v>2214</v>
      </c>
      <c r="BC456" s="445"/>
      <c r="BE456" s="448"/>
      <c r="BF456" s="449"/>
      <c r="BG456" s="450"/>
      <c r="BH456" s="445"/>
      <c r="BI456" s="491"/>
      <c r="BJ456" s="491">
        <v>19</v>
      </c>
      <c r="BK456" s="445" t="s">
        <v>348</v>
      </c>
      <c r="BL456" s="445" t="s">
        <v>3168</v>
      </c>
      <c r="BM456" s="445"/>
      <c r="BN456" s="445"/>
      <c r="BO456" s="445"/>
      <c r="BP456" s="445"/>
      <c r="BQ456" s="445" t="s">
        <v>1783</v>
      </c>
      <c r="BR456" s="445">
        <v>2</v>
      </c>
      <c r="BS456" s="445"/>
      <c r="BT456" s="445"/>
      <c r="BU456" s="445"/>
      <c r="BV456" s="445"/>
      <c r="BW456" s="445" t="s">
        <v>2327</v>
      </c>
      <c r="BX456" s="445"/>
      <c r="BY456" s="445"/>
    </row>
    <row r="457" spans="1:77" ht="15">
      <c r="A457" s="370" t="s">
        <v>1783</v>
      </c>
      <c r="B457" s="415" t="s">
        <v>216</v>
      </c>
      <c r="C457" s="416" t="s">
        <v>1784</v>
      </c>
      <c r="D457" s="444">
        <v>0</v>
      </c>
      <c r="E457" s="415" t="s">
        <v>1749</v>
      </c>
      <c r="F457" s="444">
        <v>3</v>
      </c>
      <c r="G457" s="415" t="s">
        <v>1750</v>
      </c>
      <c r="H457" s="444">
        <v>34</v>
      </c>
      <c r="I457" s="417" t="s">
        <v>1768</v>
      </c>
      <c r="J457" s="444">
        <v>1.4</v>
      </c>
      <c r="K457" s="444">
        <v>450</v>
      </c>
      <c r="L457" s="444"/>
      <c r="M457" s="444">
        <v>0</v>
      </c>
      <c r="N457" s="444">
        <v>0</v>
      </c>
      <c r="O457" s="444"/>
      <c r="P457" s="444"/>
      <c r="Q457" s="444">
        <v>200</v>
      </c>
      <c r="R457" s="444"/>
      <c r="S457" s="444">
        <v>0</v>
      </c>
      <c r="T457" s="444">
        <v>0</v>
      </c>
      <c r="U457" s="444"/>
      <c r="V457" s="444">
        <v>0</v>
      </c>
      <c r="W457" s="444">
        <v>0</v>
      </c>
      <c r="X457" s="418"/>
      <c r="Y457" s="445"/>
      <c r="Z457" s="420"/>
      <c r="AA457" s="421">
        <v>175.65</v>
      </c>
      <c r="AB457" s="421"/>
      <c r="AC457" s="454">
        <v>23</v>
      </c>
      <c r="AE457" s="445" t="s">
        <v>2355</v>
      </c>
      <c r="AF457" s="454">
        <v>1</v>
      </c>
      <c r="AG457" s="441">
        <v>43101</v>
      </c>
      <c r="AJ457" s="442">
        <v>43283</v>
      </c>
      <c r="AL457" s="446" t="s">
        <v>928</v>
      </c>
      <c r="AO457" s="445"/>
      <c r="AP457" s="454">
        <v>556624</v>
      </c>
      <c r="AQ457" s="443">
        <v>43102</v>
      </c>
      <c r="AR457" s="370">
        <v>0.5</v>
      </c>
      <c r="AT457" s="447"/>
      <c r="AU457" s="447"/>
      <c r="AV457" s="447"/>
      <c r="AY457" s="427" t="s">
        <v>1559</v>
      </c>
      <c r="AZ457" s="373"/>
      <c r="BB457" s="374" t="s">
        <v>2214</v>
      </c>
      <c r="BC457" s="445"/>
      <c r="BE457" s="448"/>
      <c r="BF457" s="449"/>
      <c r="BG457" s="450"/>
      <c r="BH457" s="445"/>
      <c r="BI457" s="491"/>
      <c r="BJ457" s="491">
        <v>20</v>
      </c>
      <c r="BK457" s="445" t="s">
        <v>2771</v>
      </c>
      <c r="BL457" s="445" t="s">
        <v>2772</v>
      </c>
      <c r="BM457" s="445"/>
      <c r="BN457" s="445"/>
      <c r="BO457" s="445"/>
      <c r="BP457" s="445"/>
      <c r="BQ457" s="445" t="s">
        <v>1783</v>
      </c>
      <c r="BR457" s="445">
        <v>2</v>
      </c>
      <c r="BS457" s="445"/>
      <c r="BT457" s="445"/>
      <c r="BU457" s="445"/>
      <c r="BV457" s="445"/>
      <c r="BW457" s="445" t="s">
        <v>2327</v>
      </c>
      <c r="BX457" s="445"/>
      <c r="BY457" s="445"/>
    </row>
    <row r="458" spans="1:77" ht="15">
      <c r="A458" s="370" t="s">
        <v>1783</v>
      </c>
      <c r="B458" s="415" t="s">
        <v>216</v>
      </c>
      <c r="C458" s="416" t="s">
        <v>1784</v>
      </c>
      <c r="D458" s="444">
        <v>0</v>
      </c>
      <c r="E458" s="415" t="s">
        <v>1749</v>
      </c>
      <c r="F458" s="444">
        <v>3</v>
      </c>
      <c r="G458" s="415" t="s">
        <v>1750</v>
      </c>
      <c r="H458" s="444">
        <v>48</v>
      </c>
      <c r="I458" s="417" t="s">
        <v>1684</v>
      </c>
      <c r="J458" s="444">
        <v>0.9</v>
      </c>
      <c r="K458" s="444">
        <v>450</v>
      </c>
      <c r="L458" s="444"/>
      <c r="M458" s="444">
        <v>0</v>
      </c>
      <c r="N458" s="444">
        <v>60</v>
      </c>
      <c r="O458" s="444"/>
      <c r="P458" s="444"/>
      <c r="Q458" s="444">
        <v>0</v>
      </c>
      <c r="R458" s="444"/>
      <c r="S458" s="444">
        <v>0</v>
      </c>
      <c r="T458" s="444">
        <v>0</v>
      </c>
      <c r="U458" s="444"/>
      <c r="V458" s="444">
        <v>0</v>
      </c>
      <c r="W458" s="444">
        <v>0</v>
      </c>
      <c r="X458" s="418"/>
      <c r="Y458" s="445"/>
      <c r="Z458" s="420"/>
      <c r="AA458" s="421">
        <v>204.27</v>
      </c>
      <c r="AB458" s="421"/>
      <c r="AC458" s="454">
        <v>23</v>
      </c>
      <c r="AE458" s="445" t="s">
        <v>2356</v>
      </c>
      <c r="AF458" s="454">
        <v>1</v>
      </c>
      <c r="AG458" s="441">
        <v>43101</v>
      </c>
      <c r="AJ458" s="442">
        <v>43283</v>
      </c>
      <c r="AL458" s="446" t="s">
        <v>928</v>
      </c>
      <c r="AO458" s="445"/>
      <c r="AP458" s="454">
        <v>556624</v>
      </c>
      <c r="AQ458" s="443">
        <v>43102</v>
      </c>
      <c r="AR458" s="370">
        <v>0.3</v>
      </c>
      <c r="AT458" s="447"/>
      <c r="AU458" s="447"/>
      <c r="AV458" s="447"/>
      <c r="AY458" s="427" t="s">
        <v>1559</v>
      </c>
      <c r="AZ458" s="373"/>
      <c r="BB458" s="374" t="s">
        <v>2214</v>
      </c>
      <c r="BC458" s="445"/>
      <c r="BE458" s="448"/>
      <c r="BF458" s="449"/>
      <c r="BG458" s="450"/>
      <c r="BH458" s="445"/>
      <c r="BI458" s="491"/>
      <c r="BJ458" s="491">
        <v>21</v>
      </c>
      <c r="BK458" s="445" t="s">
        <v>3169</v>
      </c>
      <c r="BL458" s="445" t="s">
        <v>3170</v>
      </c>
      <c r="BM458" s="445"/>
      <c r="BN458" s="445"/>
      <c r="BO458" s="445"/>
      <c r="BP458" s="445"/>
      <c r="BQ458" s="445" t="s">
        <v>1783</v>
      </c>
      <c r="BR458" s="445">
        <v>2</v>
      </c>
      <c r="BS458" s="445"/>
      <c r="BT458" s="445"/>
      <c r="BU458" s="445"/>
      <c r="BV458" s="445"/>
      <c r="BW458" s="445" t="s">
        <v>2327</v>
      </c>
      <c r="BX458" s="445"/>
      <c r="BY458" s="445"/>
    </row>
    <row r="459" spans="1:77" ht="15">
      <c r="A459" s="370" t="s">
        <v>1783</v>
      </c>
      <c r="B459" s="415" t="s">
        <v>216</v>
      </c>
      <c r="C459" s="416" t="s">
        <v>1784</v>
      </c>
      <c r="D459" s="444">
        <v>0</v>
      </c>
      <c r="E459" s="415" t="s">
        <v>1749</v>
      </c>
      <c r="F459" s="444">
        <v>3</v>
      </c>
      <c r="G459" s="415" t="s">
        <v>1750</v>
      </c>
      <c r="H459" s="444">
        <v>127</v>
      </c>
      <c r="I459" s="417" t="s">
        <v>1660</v>
      </c>
      <c r="J459" s="444">
        <v>4.0999999999999996</v>
      </c>
      <c r="K459" s="444">
        <v>450</v>
      </c>
      <c r="L459" s="444"/>
      <c r="M459" s="444">
        <v>0</v>
      </c>
      <c r="N459" s="444">
        <v>0</v>
      </c>
      <c r="O459" s="444"/>
      <c r="P459" s="444"/>
      <c r="Q459" s="444">
        <v>250</v>
      </c>
      <c r="R459" s="444"/>
      <c r="S459" s="444">
        <v>0</v>
      </c>
      <c r="T459" s="444">
        <v>0</v>
      </c>
      <c r="U459" s="444"/>
      <c r="V459" s="444">
        <v>0</v>
      </c>
      <c r="W459" s="444">
        <v>0</v>
      </c>
      <c r="X459" s="418"/>
      <c r="Y459" s="445"/>
      <c r="Z459" s="420"/>
      <c r="AA459" s="421">
        <v>205.04</v>
      </c>
      <c r="AB459" s="421"/>
      <c r="AC459" s="454">
        <v>23</v>
      </c>
      <c r="AE459" s="445" t="s">
        <v>2357</v>
      </c>
      <c r="AF459" s="454">
        <v>1</v>
      </c>
      <c r="AG459" s="441">
        <v>43101</v>
      </c>
      <c r="AJ459" s="442">
        <v>43283</v>
      </c>
      <c r="AL459" s="446" t="s">
        <v>928</v>
      </c>
      <c r="AO459" s="445"/>
      <c r="AP459" s="454">
        <v>556624</v>
      </c>
      <c r="AQ459" s="443">
        <v>43102</v>
      </c>
      <c r="AR459" s="370">
        <v>0.5</v>
      </c>
      <c r="AT459" s="447"/>
      <c r="AU459" s="447"/>
      <c r="AV459" s="447"/>
      <c r="AY459" s="427" t="s">
        <v>1559</v>
      </c>
      <c r="AZ459" s="373"/>
      <c r="BB459" s="374" t="s">
        <v>2214</v>
      </c>
      <c r="BC459" s="445"/>
      <c r="BE459" s="448"/>
      <c r="BF459" s="449"/>
      <c r="BG459" s="450"/>
      <c r="BH459" s="445"/>
      <c r="BI459" s="491"/>
      <c r="BJ459" s="491">
        <v>22</v>
      </c>
      <c r="BK459" s="445" t="s">
        <v>2748</v>
      </c>
      <c r="BL459" s="445" t="s">
        <v>2749</v>
      </c>
      <c r="BM459" s="445"/>
      <c r="BN459" s="445"/>
      <c r="BO459" s="445"/>
      <c r="BP459" s="445"/>
      <c r="BQ459" s="445" t="s">
        <v>1783</v>
      </c>
      <c r="BR459" s="445">
        <v>2</v>
      </c>
      <c r="BS459" s="445"/>
      <c r="BT459" s="445"/>
      <c r="BU459" s="445"/>
      <c r="BV459" s="445"/>
      <c r="BW459" s="445" t="s">
        <v>2327</v>
      </c>
      <c r="BX459" s="445"/>
      <c r="BY459" s="445"/>
    </row>
    <row r="460" spans="1:77" ht="15">
      <c r="A460" s="370" t="s">
        <v>1269</v>
      </c>
      <c r="B460" s="415" t="s">
        <v>216</v>
      </c>
      <c r="C460" s="416" t="s">
        <v>1693</v>
      </c>
      <c r="D460" s="444">
        <v>0</v>
      </c>
      <c r="E460" s="415" t="s">
        <v>1749</v>
      </c>
      <c r="F460" s="444">
        <v>3</v>
      </c>
      <c r="G460" s="415" t="s">
        <v>1750</v>
      </c>
      <c r="H460" s="444">
        <v>69</v>
      </c>
      <c r="I460" s="417" t="s">
        <v>1660</v>
      </c>
      <c r="J460" s="444">
        <v>1</v>
      </c>
      <c r="K460" s="444">
        <v>309</v>
      </c>
      <c r="L460" s="444"/>
      <c r="M460" s="444">
        <v>0</v>
      </c>
      <c r="N460" s="444">
        <v>0</v>
      </c>
      <c r="O460" s="444"/>
      <c r="P460" s="444"/>
      <c r="Q460" s="444">
        <v>0</v>
      </c>
      <c r="R460" s="444"/>
      <c r="S460" s="444">
        <v>0</v>
      </c>
      <c r="T460" s="444">
        <v>0</v>
      </c>
      <c r="U460" s="444"/>
      <c r="V460" s="444">
        <v>17</v>
      </c>
      <c r="W460" s="444">
        <v>3</v>
      </c>
      <c r="X460" s="418"/>
      <c r="Y460" s="445"/>
      <c r="Z460" s="420"/>
      <c r="AA460" s="421">
        <v>193.142</v>
      </c>
      <c r="AB460" s="421"/>
      <c r="AC460" s="454">
        <v>0</v>
      </c>
      <c r="AE460" s="445" t="s">
        <v>2359</v>
      </c>
      <c r="AF460" s="454">
        <v>1</v>
      </c>
      <c r="AG460" s="441">
        <v>43101</v>
      </c>
      <c r="AJ460" s="442">
        <v>43283</v>
      </c>
      <c r="AL460" s="446" t="s">
        <v>1019</v>
      </c>
      <c r="AO460" s="445"/>
      <c r="AP460" s="454">
        <v>556625</v>
      </c>
      <c r="AQ460" s="443">
        <v>43102</v>
      </c>
      <c r="AR460" s="370">
        <v>0.3</v>
      </c>
      <c r="AT460" s="447"/>
      <c r="AU460" s="447"/>
      <c r="AV460" s="447"/>
      <c r="AY460" s="427" t="s">
        <v>1559</v>
      </c>
      <c r="AZ460" s="373"/>
      <c r="BB460" s="374" t="s">
        <v>2214</v>
      </c>
      <c r="BC460" s="445"/>
      <c r="BE460" s="448"/>
      <c r="BF460" s="449"/>
      <c r="BG460" s="450"/>
      <c r="BH460" s="445"/>
      <c r="BI460" s="491"/>
      <c r="BJ460" s="491">
        <v>12</v>
      </c>
      <c r="BK460" s="445" t="s">
        <v>2952</v>
      </c>
      <c r="BL460" s="445" t="s">
        <v>2953</v>
      </c>
      <c r="BM460" s="445"/>
      <c r="BN460" s="445"/>
      <c r="BO460" s="445"/>
      <c r="BP460" s="445"/>
      <c r="BQ460" s="445" t="s">
        <v>1269</v>
      </c>
      <c r="BR460" s="445">
        <v>2</v>
      </c>
      <c r="BS460" s="445"/>
      <c r="BT460" s="445"/>
      <c r="BU460" s="445"/>
      <c r="BV460" s="445"/>
      <c r="BW460" s="445" t="s">
        <v>2327</v>
      </c>
      <c r="BX460" s="445"/>
      <c r="BY460" s="445"/>
    </row>
    <row r="461" spans="1:77" ht="15">
      <c r="A461" s="370" t="s">
        <v>1269</v>
      </c>
      <c r="B461" s="415" t="s">
        <v>216</v>
      </c>
      <c r="C461" s="416" t="s">
        <v>1693</v>
      </c>
      <c r="D461" s="444">
        <v>0</v>
      </c>
      <c r="E461" s="415" t="s">
        <v>1749</v>
      </c>
      <c r="F461" s="444">
        <v>3</v>
      </c>
      <c r="G461" s="415" t="s">
        <v>1750</v>
      </c>
      <c r="H461" s="444">
        <v>98</v>
      </c>
      <c r="I461" s="417" t="s">
        <v>1683</v>
      </c>
      <c r="J461" s="444">
        <v>2.2000000000000002</v>
      </c>
      <c r="K461" s="444">
        <v>497</v>
      </c>
      <c r="L461" s="444"/>
      <c r="M461" s="444">
        <v>0</v>
      </c>
      <c r="N461" s="444">
        <v>0</v>
      </c>
      <c r="O461" s="444"/>
      <c r="P461" s="444"/>
      <c r="Q461" s="444">
        <v>0</v>
      </c>
      <c r="R461" s="444"/>
      <c r="S461" s="444">
        <v>0</v>
      </c>
      <c r="T461" s="444">
        <v>0</v>
      </c>
      <c r="U461" s="444"/>
      <c r="V461" s="444">
        <v>13</v>
      </c>
      <c r="W461" s="444">
        <v>19</v>
      </c>
      <c r="X461" s="418"/>
      <c r="Y461" s="445"/>
      <c r="Z461" s="420"/>
      <c r="AA461" s="421">
        <v>208.13200000000001</v>
      </c>
      <c r="AB461" s="421"/>
      <c r="AC461" s="454">
        <v>0</v>
      </c>
      <c r="AE461" s="445" t="s">
        <v>2360</v>
      </c>
      <c r="AF461" s="454">
        <v>1</v>
      </c>
      <c r="AG461" s="441">
        <v>43101</v>
      </c>
      <c r="AJ461" s="442">
        <v>43283</v>
      </c>
      <c r="AL461" s="446" t="s">
        <v>1019</v>
      </c>
      <c r="AO461" s="445"/>
      <c r="AP461" s="454">
        <v>556625</v>
      </c>
      <c r="AQ461" s="443">
        <v>43102</v>
      </c>
      <c r="AR461" s="370">
        <v>0.3</v>
      </c>
      <c r="AT461" s="447"/>
      <c r="AU461" s="447"/>
      <c r="AV461" s="447"/>
      <c r="AY461" s="427" t="s">
        <v>1559</v>
      </c>
      <c r="AZ461" s="373"/>
      <c r="BB461" s="374" t="s">
        <v>2214</v>
      </c>
      <c r="BC461" s="445"/>
      <c r="BE461" s="448"/>
      <c r="BF461" s="449"/>
      <c r="BG461" s="450"/>
      <c r="BH461" s="445"/>
      <c r="BI461" s="491"/>
      <c r="BJ461" s="491">
        <v>13</v>
      </c>
      <c r="BK461" s="445" t="s">
        <v>2830</v>
      </c>
      <c r="BL461" s="445" t="s">
        <v>2954</v>
      </c>
      <c r="BM461" s="445"/>
      <c r="BN461" s="445"/>
      <c r="BO461" s="445"/>
      <c r="BP461" s="445"/>
      <c r="BQ461" s="445" t="s">
        <v>1269</v>
      </c>
      <c r="BR461" s="445">
        <v>2</v>
      </c>
      <c r="BS461" s="445"/>
      <c r="BT461" s="445"/>
      <c r="BU461" s="445"/>
      <c r="BV461" s="445"/>
      <c r="BW461" s="445" t="s">
        <v>2327</v>
      </c>
      <c r="BX461" s="445"/>
      <c r="BY461" s="445"/>
    </row>
    <row r="462" spans="1:77" ht="15">
      <c r="A462" s="370" t="s">
        <v>1269</v>
      </c>
      <c r="B462" s="415" t="s">
        <v>216</v>
      </c>
      <c r="C462" s="416" t="s">
        <v>1682</v>
      </c>
      <c r="D462" s="444">
        <v>0</v>
      </c>
      <c r="E462" s="415" t="s">
        <v>1749</v>
      </c>
      <c r="F462" s="444">
        <v>3</v>
      </c>
      <c r="G462" s="415" t="s">
        <v>1750</v>
      </c>
      <c r="H462" s="444">
        <v>18</v>
      </c>
      <c r="I462" s="417" t="s">
        <v>1685</v>
      </c>
      <c r="J462" s="444">
        <v>4.5999999999999996</v>
      </c>
      <c r="K462" s="444">
        <v>235</v>
      </c>
      <c r="L462" s="444"/>
      <c r="M462" s="444">
        <v>0</v>
      </c>
      <c r="N462" s="444">
        <v>4</v>
      </c>
      <c r="O462" s="444"/>
      <c r="P462" s="444"/>
      <c r="Q462" s="444">
        <v>0</v>
      </c>
      <c r="R462" s="444"/>
      <c r="S462" s="444">
        <v>0</v>
      </c>
      <c r="T462" s="444">
        <v>0</v>
      </c>
      <c r="U462" s="444">
        <v>15</v>
      </c>
      <c r="V462" s="444">
        <v>6</v>
      </c>
      <c r="W462" s="444">
        <v>52</v>
      </c>
      <c r="X462" s="418"/>
      <c r="Y462" s="445"/>
      <c r="Z462" s="420"/>
      <c r="AA462" s="421">
        <v>92.376999999999995</v>
      </c>
      <c r="AB462" s="421"/>
      <c r="AC462" s="454">
        <v>7</v>
      </c>
      <c r="AE462" s="445" t="s">
        <v>2361</v>
      </c>
      <c r="AF462" s="454">
        <v>1</v>
      </c>
      <c r="AG462" s="441">
        <v>43101</v>
      </c>
      <c r="AJ462" s="442">
        <v>43297</v>
      </c>
      <c r="AL462" s="446" t="s">
        <v>1980</v>
      </c>
      <c r="AO462" s="445"/>
      <c r="AP462" s="454">
        <v>556715</v>
      </c>
      <c r="AQ462" s="443">
        <v>43297</v>
      </c>
      <c r="AR462" s="370">
        <v>0.3</v>
      </c>
      <c r="AT462" s="447"/>
      <c r="AU462" s="447"/>
      <c r="AV462" s="447"/>
      <c r="AY462" s="427" t="s">
        <v>1559</v>
      </c>
      <c r="AZ462" s="373"/>
      <c r="BB462" s="374" t="s">
        <v>2214</v>
      </c>
      <c r="BC462" s="445"/>
      <c r="BE462" s="448"/>
      <c r="BF462" s="449"/>
      <c r="BG462" s="450"/>
      <c r="BH462" s="445"/>
      <c r="BI462" s="491"/>
      <c r="BJ462" s="491">
        <v>3</v>
      </c>
      <c r="BK462" s="445" t="s">
        <v>3171</v>
      </c>
      <c r="BL462" s="445" t="s">
        <v>3172</v>
      </c>
      <c r="BM462" s="445"/>
      <c r="BN462" s="445"/>
      <c r="BO462" s="445"/>
      <c r="BP462" s="445"/>
      <c r="BQ462" s="445" t="s">
        <v>1269</v>
      </c>
      <c r="BR462" s="445">
        <v>2</v>
      </c>
      <c r="BS462" s="445"/>
      <c r="BT462" s="445"/>
      <c r="BU462" s="445"/>
      <c r="BV462" s="445"/>
      <c r="BW462" s="445" t="s">
        <v>2327</v>
      </c>
      <c r="BX462" s="445"/>
      <c r="BY462" s="445"/>
    </row>
    <row r="463" spans="1:77" ht="15">
      <c r="A463" s="370" t="s">
        <v>1269</v>
      </c>
      <c r="B463" s="415" t="s">
        <v>216</v>
      </c>
      <c r="C463" s="416" t="s">
        <v>1682</v>
      </c>
      <c r="D463" s="444">
        <v>0</v>
      </c>
      <c r="E463" s="415" t="s">
        <v>1749</v>
      </c>
      <c r="F463" s="444">
        <v>3</v>
      </c>
      <c r="G463" s="415" t="s">
        <v>1750</v>
      </c>
      <c r="H463" s="444">
        <v>111</v>
      </c>
      <c r="I463" s="417" t="s">
        <v>1664</v>
      </c>
      <c r="J463" s="444">
        <v>12.9</v>
      </c>
      <c r="K463" s="444">
        <v>783</v>
      </c>
      <c r="L463" s="444"/>
      <c r="M463" s="444">
        <v>0</v>
      </c>
      <c r="N463" s="444">
        <v>53</v>
      </c>
      <c r="O463" s="444"/>
      <c r="P463" s="444"/>
      <c r="Q463" s="444">
        <v>0</v>
      </c>
      <c r="R463" s="444"/>
      <c r="S463" s="444">
        <v>0</v>
      </c>
      <c r="T463" s="444">
        <v>0</v>
      </c>
      <c r="U463" s="444">
        <v>54</v>
      </c>
      <c r="V463" s="444">
        <v>1</v>
      </c>
      <c r="W463" s="444">
        <v>338</v>
      </c>
      <c r="X463" s="418"/>
      <c r="Y463" s="445"/>
      <c r="Z463" s="420"/>
      <c r="AA463" s="421">
        <v>73.495999999999995</v>
      </c>
      <c r="AB463" s="421"/>
      <c r="AC463" s="454">
        <v>29</v>
      </c>
      <c r="AE463" s="445" t="s">
        <v>2362</v>
      </c>
      <c r="AF463" s="454">
        <v>1</v>
      </c>
      <c r="AG463" s="441">
        <v>43101</v>
      </c>
      <c r="AJ463" s="442">
        <v>43297</v>
      </c>
      <c r="AL463" s="446" t="s">
        <v>2071</v>
      </c>
      <c r="AO463" s="445"/>
      <c r="AP463" s="454">
        <v>556715</v>
      </c>
      <c r="AQ463" s="443">
        <v>43297</v>
      </c>
      <c r="AR463" s="370">
        <v>0.3</v>
      </c>
      <c r="AT463" s="447"/>
      <c r="AU463" s="447"/>
      <c r="AV463" s="447"/>
      <c r="AY463" s="427" t="s">
        <v>1559</v>
      </c>
      <c r="AZ463" s="373"/>
      <c r="BB463" s="374" t="s">
        <v>2214</v>
      </c>
      <c r="BC463" s="445"/>
      <c r="BE463" s="448"/>
      <c r="BF463" s="449"/>
      <c r="BG463" s="450"/>
      <c r="BH463" s="445"/>
      <c r="BI463" s="491"/>
      <c r="BJ463" s="491">
        <v>4</v>
      </c>
      <c r="BK463" s="445" t="s">
        <v>340</v>
      </c>
      <c r="BL463" s="445" t="s">
        <v>3173</v>
      </c>
      <c r="BM463" s="445"/>
      <c r="BN463" s="445"/>
      <c r="BO463" s="445"/>
      <c r="BP463" s="445"/>
      <c r="BQ463" s="445" t="s">
        <v>1269</v>
      </c>
      <c r="BR463" s="445">
        <v>2</v>
      </c>
      <c r="BS463" s="445"/>
      <c r="BT463" s="445"/>
      <c r="BU463" s="445"/>
      <c r="BV463" s="445"/>
      <c r="BW463" s="445" t="s">
        <v>2327</v>
      </c>
      <c r="BX463" s="445"/>
      <c r="BY463" s="445"/>
    </row>
    <row r="464" spans="1:77" ht="15">
      <c r="A464" s="370" t="s">
        <v>1269</v>
      </c>
      <c r="B464" s="415" t="s">
        <v>216</v>
      </c>
      <c r="C464" s="416" t="s">
        <v>1682</v>
      </c>
      <c r="D464" s="444">
        <v>0</v>
      </c>
      <c r="E464" s="415" t="s">
        <v>1749</v>
      </c>
      <c r="F464" s="444">
        <v>3</v>
      </c>
      <c r="G464" s="415" t="s">
        <v>1750</v>
      </c>
      <c r="H464" s="444">
        <v>122</v>
      </c>
      <c r="I464" s="417" t="s">
        <v>1768</v>
      </c>
      <c r="J464" s="444">
        <v>3.2</v>
      </c>
      <c r="K464" s="444">
        <v>382</v>
      </c>
      <c r="L464" s="444"/>
      <c r="M464" s="444">
        <v>15</v>
      </c>
      <c r="N464" s="444">
        <v>0</v>
      </c>
      <c r="O464" s="444"/>
      <c r="P464" s="444"/>
      <c r="Q464" s="444">
        <v>0</v>
      </c>
      <c r="R464" s="444"/>
      <c r="S464" s="444">
        <v>0</v>
      </c>
      <c r="T464" s="444">
        <v>0</v>
      </c>
      <c r="U464" s="444">
        <v>0</v>
      </c>
      <c r="V464" s="444">
        <v>113</v>
      </c>
      <c r="W464" s="444">
        <v>0</v>
      </c>
      <c r="X464" s="418"/>
      <c r="Y464" s="445"/>
      <c r="Z464" s="420"/>
      <c r="AA464" s="421">
        <v>76.039000000000001</v>
      </c>
      <c r="AB464" s="421"/>
      <c r="AC464" s="454">
        <v>19</v>
      </c>
      <c r="AE464" s="445" t="s">
        <v>2364</v>
      </c>
      <c r="AF464" s="454">
        <v>1</v>
      </c>
      <c r="AG464" s="441">
        <v>43101</v>
      </c>
      <c r="AJ464" s="442">
        <v>43297</v>
      </c>
      <c r="AL464" s="446" t="s">
        <v>1772</v>
      </c>
      <c r="AO464" s="445"/>
      <c r="AP464" s="454">
        <v>556715</v>
      </c>
      <c r="AQ464" s="443">
        <v>43297</v>
      </c>
      <c r="AR464" s="370">
        <v>0.3</v>
      </c>
      <c r="AT464" s="447"/>
      <c r="AU464" s="447"/>
      <c r="AV464" s="447"/>
      <c r="AY464" s="427" t="s">
        <v>1559</v>
      </c>
      <c r="AZ464" s="373"/>
      <c r="BB464" s="374" t="s">
        <v>2214</v>
      </c>
      <c r="BC464" s="445"/>
      <c r="BE464" s="448"/>
      <c r="BF464" s="449"/>
      <c r="BG464" s="450"/>
      <c r="BH464" s="445"/>
      <c r="BI464" s="491"/>
      <c r="BJ464" s="491">
        <v>6</v>
      </c>
      <c r="BK464" s="445" t="s">
        <v>3174</v>
      </c>
      <c r="BL464" s="445" t="s">
        <v>3175</v>
      </c>
      <c r="BM464" s="445"/>
      <c r="BN464" s="445"/>
      <c r="BO464" s="445"/>
      <c r="BP464" s="445"/>
      <c r="BQ464" s="445" t="s">
        <v>1269</v>
      </c>
      <c r="BR464" s="445">
        <v>2</v>
      </c>
      <c r="BS464" s="445"/>
      <c r="BT464" s="445"/>
      <c r="BU464" s="445"/>
      <c r="BV464" s="445"/>
      <c r="BW464" s="445" t="s">
        <v>2327</v>
      </c>
      <c r="BX464" s="445"/>
      <c r="BY464" s="445"/>
    </row>
    <row r="465" spans="1:77" ht="15">
      <c r="A465" s="370" t="s">
        <v>1269</v>
      </c>
      <c r="B465" s="415" t="s">
        <v>216</v>
      </c>
      <c r="C465" s="416" t="s">
        <v>1682</v>
      </c>
      <c r="D465" s="444">
        <v>0</v>
      </c>
      <c r="E465" s="415" t="s">
        <v>1749</v>
      </c>
      <c r="F465" s="444">
        <v>3</v>
      </c>
      <c r="G465" s="415" t="s">
        <v>1750</v>
      </c>
      <c r="H465" s="444">
        <v>122</v>
      </c>
      <c r="I465" s="417" t="s">
        <v>1687</v>
      </c>
      <c r="J465" s="444">
        <v>3</v>
      </c>
      <c r="K465" s="444">
        <v>407</v>
      </c>
      <c r="L465" s="444"/>
      <c r="M465" s="444">
        <v>14</v>
      </c>
      <c r="N465" s="444">
        <v>0</v>
      </c>
      <c r="O465" s="444"/>
      <c r="P465" s="444"/>
      <c r="Q465" s="444">
        <v>0</v>
      </c>
      <c r="R465" s="444"/>
      <c r="S465" s="444">
        <v>0</v>
      </c>
      <c r="T465" s="444">
        <v>0</v>
      </c>
      <c r="U465" s="444">
        <v>0</v>
      </c>
      <c r="V465" s="444">
        <v>127</v>
      </c>
      <c r="W465" s="444">
        <v>0</v>
      </c>
      <c r="X465" s="418"/>
      <c r="Y465" s="445"/>
      <c r="Z465" s="420"/>
      <c r="AA465" s="421">
        <v>76.727000000000004</v>
      </c>
      <c r="AB465" s="421"/>
      <c r="AC465" s="454">
        <v>19</v>
      </c>
      <c r="AE465" s="445" t="s">
        <v>2365</v>
      </c>
      <c r="AF465" s="454">
        <v>1</v>
      </c>
      <c r="AG465" s="441">
        <v>43101</v>
      </c>
      <c r="AJ465" s="442">
        <v>43297</v>
      </c>
      <c r="AL465" s="446" t="s">
        <v>1772</v>
      </c>
      <c r="AO465" s="445"/>
      <c r="AP465" s="454">
        <v>556715</v>
      </c>
      <c r="AQ465" s="443">
        <v>43297</v>
      </c>
      <c r="AR465" s="370">
        <v>0.3</v>
      </c>
      <c r="AT465" s="447"/>
      <c r="AU465" s="447"/>
      <c r="AV465" s="447"/>
      <c r="AY465" s="427" t="s">
        <v>1559</v>
      </c>
      <c r="AZ465" s="373"/>
      <c r="BB465" s="374" t="s">
        <v>2214</v>
      </c>
      <c r="BC465" s="445"/>
      <c r="BE465" s="448"/>
      <c r="BF465" s="449"/>
      <c r="BG465" s="450"/>
      <c r="BH465" s="445"/>
      <c r="BI465" s="491"/>
      <c r="BJ465" s="491">
        <v>7</v>
      </c>
      <c r="BK465" s="445" t="s">
        <v>3176</v>
      </c>
      <c r="BL465" s="445" t="s">
        <v>3177</v>
      </c>
      <c r="BM465" s="445"/>
      <c r="BN465" s="445"/>
      <c r="BO465" s="445"/>
      <c r="BP465" s="445"/>
      <c r="BQ465" s="445" t="s">
        <v>1269</v>
      </c>
      <c r="BR465" s="445">
        <v>2</v>
      </c>
      <c r="BS465" s="445"/>
      <c r="BT465" s="445"/>
      <c r="BU465" s="445"/>
      <c r="BV465" s="445"/>
      <c r="BW465" s="445" t="s">
        <v>2327</v>
      </c>
      <c r="BX465" s="445"/>
      <c r="BY465" s="445"/>
    </row>
    <row r="466" spans="1:77" ht="15">
      <c r="A466" s="370" t="s">
        <v>1269</v>
      </c>
      <c r="B466" s="415" t="s">
        <v>216</v>
      </c>
      <c r="C466" s="416" t="s">
        <v>1682</v>
      </c>
      <c r="D466" s="444">
        <v>0</v>
      </c>
      <c r="E466" s="415" t="s">
        <v>1749</v>
      </c>
      <c r="F466" s="444">
        <v>3</v>
      </c>
      <c r="G466" s="415" t="s">
        <v>1750</v>
      </c>
      <c r="H466" s="444">
        <v>81</v>
      </c>
      <c r="I466" s="417" t="s">
        <v>1660</v>
      </c>
      <c r="J466" s="444">
        <v>4.5999999999999996</v>
      </c>
      <c r="K466" s="444">
        <v>240</v>
      </c>
      <c r="L466" s="444"/>
      <c r="M466" s="444">
        <v>0</v>
      </c>
      <c r="N466" s="444">
        <v>13</v>
      </c>
      <c r="O466" s="444"/>
      <c r="P466" s="444"/>
      <c r="Q466" s="444">
        <v>0</v>
      </c>
      <c r="R466" s="444"/>
      <c r="S466" s="444">
        <v>0</v>
      </c>
      <c r="T466" s="444">
        <v>0</v>
      </c>
      <c r="U466" s="444">
        <v>4</v>
      </c>
      <c r="V466" s="444">
        <v>2</v>
      </c>
      <c r="W466" s="444">
        <v>143</v>
      </c>
      <c r="X466" s="418"/>
      <c r="Y466" s="445"/>
      <c r="Z466" s="420"/>
      <c r="AA466" s="421">
        <v>70.968000000000004</v>
      </c>
      <c r="AB466" s="421"/>
      <c r="AC466" s="454">
        <v>10</v>
      </c>
      <c r="AE466" s="445" t="s">
        <v>2366</v>
      </c>
      <c r="AF466" s="454">
        <v>1</v>
      </c>
      <c r="AG466" s="441">
        <v>43101</v>
      </c>
      <c r="AJ466" s="442">
        <v>43297</v>
      </c>
      <c r="AL466" s="446" t="s">
        <v>1772</v>
      </c>
      <c r="AO466" s="445"/>
      <c r="AP466" s="454">
        <v>556715</v>
      </c>
      <c r="AQ466" s="443">
        <v>43297</v>
      </c>
      <c r="AR466" s="370">
        <v>0.3</v>
      </c>
      <c r="AT466" s="447"/>
      <c r="AU466" s="447"/>
      <c r="AV466" s="447"/>
      <c r="AY466" s="427" t="s">
        <v>1559</v>
      </c>
      <c r="AZ466" s="373"/>
      <c r="BB466" s="374" t="s">
        <v>2214</v>
      </c>
      <c r="BC466" s="445"/>
      <c r="BE466" s="448"/>
      <c r="BF466" s="449"/>
      <c r="BG466" s="450"/>
      <c r="BH466" s="445"/>
      <c r="BI466" s="491"/>
      <c r="BJ466" s="491">
        <v>8</v>
      </c>
      <c r="BK466" s="445" t="s">
        <v>3178</v>
      </c>
      <c r="BL466" s="445" t="s">
        <v>3179</v>
      </c>
      <c r="BM466" s="445"/>
      <c r="BN466" s="445"/>
      <c r="BO466" s="445"/>
      <c r="BP466" s="445"/>
      <c r="BQ466" s="445" t="s">
        <v>1269</v>
      </c>
      <c r="BR466" s="445">
        <v>2</v>
      </c>
      <c r="BS466" s="445"/>
      <c r="BT466" s="445"/>
      <c r="BU466" s="445"/>
      <c r="BV466" s="445"/>
      <c r="BW466" s="445" t="s">
        <v>2327</v>
      </c>
      <c r="BX466" s="445"/>
      <c r="BY466" s="445"/>
    </row>
    <row r="467" spans="1:77" ht="15">
      <c r="A467" s="370" t="s">
        <v>1269</v>
      </c>
      <c r="B467" s="415" t="s">
        <v>216</v>
      </c>
      <c r="C467" s="416" t="s">
        <v>1682</v>
      </c>
      <c r="D467" s="444">
        <v>0</v>
      </c>
      <c r="E467" s="415" t="s">
        <v>1749</v>
      </c>
      <c r="F467" s="444">
        <v>3</v>
      </c>
      <c r="G467" s="415" t="s">
        <v>1750</v>
      </c>
      <c r="H467" s="444">
        <v>121</v>
      </c>
      <c r="I467" s="417" t="s">
        <v>1687</v>
      </c>
      <c r="J467" s="444">
        <v>7.8</v>
      </c>
      <c r="K467" s="444">
        <v>436</v>
      </c>
      <c r="L467" s="444"/>
      <c r="M467" s="444">
        <v>0</v>
      </c>
      <c r="N467" s="444">
        <v>3</v>
      </c>
      <c r="O467" s="444"/>
      <c r="P467" s="444"/>
      <c r="Q467" s="444">
        <v>0</v>
      </c>
      <c r="R467" s="444"/>
      <c r="S467" s="444">
        <v>0</v>
      </c>
      <c r="T467" s="444">
        <v>0</v>
      </c>
      <c r="U467" s="444">
        <v>4</v>
      </c>
      <c r="V467" s="444">
        <v>0</v>
      </c>
      <c r="W467" s="444">
        <v>105</v>
      </c>
      <c r="X467" s="418"/>
      <c r="Y467" s="445"/>
      <c r="Z467" s="420"/>
      <c r="AA467" s="421">
        <v>97.704999999999998</v>
      </c>
      <c r="AB467" s="421"/>
      <c r="AC467" s="454">
        <v>12</v>
      </c>
      <c r="AE467" s="445" t="s">
        <v>2367</v>
      </c>
      <c r="AF467" s="454">
        <v>1</v>
      </c>
      <c r="AG467" s="441">
        <v>43101</v>
      </c>
      <c r="AJ467" s="442">
        <v>43297</v>
      </c>
      <c r="AL467" s="446" t="s">
        <v>1018</v>
      </c>
      <c r="AO467" s="445"/>
      <c r="AP467" s="454">
        <v>556715</v>
      </c>
      <c r="AQ467" s="443">
        <v>43297</v>
      </c>
      <c r="AR467" s="370">
        <v>0.3</v>
      </c>
      <c r="AT467" s="447"/>
      <c r="AU467" s="447"/>
      <c r="AV467" s="447"/>
      <c r="AY467" s="427" t="s">
        <v>1559</v>
      </c>
      <c r="AZ467" s="373"/>
      <c r="BB467" s="374" t="s">
        <v>2214</v>
      </c>
      <c r="BC467" s="445"/>
      <c r="BE467" s="448"/>
      <c r="BF467" s="449"/>
      <c r="BG467" s="450"/>
      <c r="BH467" s="445"/>
      <c r="BI467" s="491"/>
      <c r="BJ467" s="491">
        <v>9</v>
      </c>
      <c r="BK467" s="445" t="s">
        <v>3180</v>
      </c>
      <c r="BL467" s="445" t="s">
        <v>3181</v>
      </c>
      <c r="BM467" s="445"/>
      <c r="BN467" s="445"/>
      <c r="BO467" s="445"/>
      <c r="BP467" s="445"/>
      <c r="BQ467" s="445" t="s">
        <v>1269</v>
      </c>
      <c r="BR467" s="445">
        <v>2</v>
      </c>
      <c r="BS467" s="445"/>
      <c r="BT467" s="445"/>
      <c r="BU467" s="445"/>
      <c r="BV467" s="445"/>
      <c r="BW467" s="445" t="s">
        <v>2327</v>
      </c>
      <c r="BX467" s="445"/>
      <c r="BY467" s="445"/>
    </row>
    <row r="468" spans="1:77" ht="15">
      <c r="A468" s="370" t="s">
        <v>1269</v>
      </c>
      <c r="B468" s="415" t="s">
        <v>216</v>
      </c>
      <c r="C468" s="416" t="s">
        <v>1682</v>
      </c>
      <c r="D468" s="444">
        <v>0</v>
      </c>
      <c r="E468" s="415" t="s">
        <v>1749</v>
      </c>
      <c r="F468" s="444">
        <v>3</v>
      </c>
      <c r="G468" s="415" t="s">
        <v>1750</v>
      </c>
      <c r="H468" s="444">
        <v>137</v>
      </c>
      <c r="I468" s="417" t="s">
        <v>2368</v>
      </c>
      <c r="J468" s="444">
        <v>3.1</v>
      </c>
      <c r="K468" s="444">
        <v>429</v>
      </c>
      <c r="L468" s="444"/>
      <c r="M468" s="444">
        <v>0</v>
      </c>
      <c r="N468" s="444">
        <v>10</v>
      </c>
      <c r="O468" s="444"/>
      <c r="P468" s="444"/>
      <c r="Q468" s="444">
        <v>0</v>
      </c>
      <c r="R468" s="444"/>
      <c r="S468" s="444">
        <v>0</v>
      </c>
      <c r="T468" s="444">
        <v>0</v>
      </c>
      <c r="U468" s="444">
        <v>0</v>
      </c>
      <c r="V468" s="444">
        <v>0</v>
      </c>
      <c r="W468" s="444">
        <v>146</v>
      </c>
      <c r="X468" s="418"/>
      <c r="Y468" s="445"/>
      <c r="Z468" s="420"/>
      <c r="AA468" s="421">
        <v>81.936999999999998</v>
      </c>
      <c r="AB468" s="421"/>
      <c r="AC468" s="454">
        <v>13</v>
      </c>
      <c r="AE468" s="445" t="s">
        <v>2369</v>
      </c>
      <c r="AF468" s="454">
        <v>1</v>
      </c>
      <c r="AG468" s="441">
        <v>43101</v>
      </c>
      <c r="AJ468" s="442">
        <v>43297</v>
      </c>
      <c r="AL468" s="446" t="s">
        <v>2071</v>
      </c>
      <c r="AO468" s="445"/>
      <c r="AP468" s="454">
        <v>556715</v>
      </c>
      <c r="AQ468" s="443">
        <v>43297</v>
      </c>
      <c r="AR468" s="370">
        <v>0.3</v>
      </c>
      <c r="AT468" s="447"/>
      <c r="AU468" s="447"/>
      <c r="AV468" s="447"/>
      <c r="AY468" s="427" t="s">
        <v>1559</v>
      </c>
      <c r="AZ468" s="373"/>
      <c r="BB468" s="374" t="s">
        <v>2214</v>
      </c>
      <c r="BC468" s="445"/>
      <c r="BE468" s="448"/>
      <c r="BF468" s="449"/>
      <c r="BG468" s="450"/>
      <c r="BH468" s="445"/>
      <c r="BI468" s="491"/>
      <c r="BJ468" s="491">
        <v>2</v>
      </c>
      <c r="BK468" s="445" t="s">
        <v>3182</v>
      </c>
      <c r="BL468" s="445" t="s">
        <v>3183</v>
      </c>
      <c r="BM468" s="445"/>
      <c r="BN468" s="445"/>
      <c r="BO468" s="445"/>
      <c r="BP468" s="445"/>
      <c r="BQ468" s="445" t="s">
        <v>1269</v>
      </c>
      <c r="BR468" s="445">
        <v>2</v>
      </c>
      <c r="BS468" s="445"/>
      <c r="BT468" s="445"/>
      <c r="BU468" s="445"/>
      <c r="BV468" s="445"/>
      <c r="BW468" s="445" t="s">
        <v>2327</v>
      </c>
      <c r="BX468" s="445"/>
      <c r="BY468" s="445"/>
    </row>
    <row r="469" spans="1:77" ht="15">
      <c r="A469" s="370" t="s">
        <v>1269</v>
      </c>
      <c r="B469" s="415" t="s">
        <v>216</v>
      </c>
      <c r="C469" s="416" t="s">
        <v>1682</v>
      </c>
      <c r="D469" s="444">
        <v>0</v>
      </c>
      <c r="E469" s="415" t="s">
        <v>1749</v>
      </c>
      <c r="F469" s="444">
        <v>3</v>
      </c>
      <c r="G469" s="415" t="s">
        <v>1750</v>
      </c>
      <c r="H469" s="444">
        <v>67</v>
      </c>
      <c r="I469" s="417" t="s">
        <v>1423</v>
      </c>
      <c r="J469" s="444">
        <v>8.6</v>
      </c>
      <c r="K469" s="444">
        <v>425</v>
      </c>
      <c r="L469" s="444"/>
      <c r="M469" s="444">
        <v>25</v>
      </c>
      <c r="N469" s="444">
        <v>1</v>
      </c>
      <c r="O469" s="444"/>
      <c r="P469" s="444"/>
      <c r="Q469" s="444">
        <v>0</v>
      </c>
      <c r="R469" s="444"/>
      <c r="S469" s="444">
        <v>0</v>
      </c>
      <c r="T469" s="444">
        <v>0</v>
      </c>
      <c r="U469" s="444">
        <v>4</v>
      </c>
      <c r="V469" s="444">
        <v>174</v>
      </c>
      <c r="W469" s="444">
        <v>30</v>
      </c>
      <c r="X469" s="418"/>
      <c r="Y469" s="445"/>
      <c r="Z469" s="420"/>
      <c r="AA469" s="421">
        <v>68.350999999999999</v>
      </c>
      <c r="AB469" s="421"/>
      <c r="AC469" s="454">
        <v>26</v>
      </c>
      <c r="AE469" s="445" t="s">
        <v>2370</v>
      </c>
      <c r="AF469" s="454">
        <v>1</v>
      </c>
      <c r="AG469" s="441">
        <v>43101</v>
      </c>
      <c r="AJ469" s="442">
        <v>43297</v>
      </c>
      <c r="AL469" s="446" t="s">
        <v>1019</v>
      </c>
      <c r="AO469" s="445"/>
      <c r="AP469" s="454">
        <v>556715</v>
      </c>
      <c r="AQ469" s="443">
        <v>43297</v>
      </c>
      <c r="AR469" s="370">
        <v>0.3</v>
      </c>
      <c r="AT469" s="447"/>
      <c r="AU469" s="447"/>
      <c r="AV469" s="447"/>
      <c r="AY469" s="427" t="s">
        <v>1559</v>
      </c>
      <c r="AZ469" s="373"/>
      <c r="BB469" s="374" t="s">
        <v>2214</v>
      </c>
      <c r="BC469" s="445"/>
      <c r="BE469" s="448"/>
      <c r="BF469" s="449"/>
      <c r="BG469" s="450"/>
      <c r="BH469" s="445"/>
      <c r="BI469" s="491"/>
      <c r="BJ469" s="491">
        <v>10</v>
      </c>
      <c r="BK469" s="445" t="s">
        <v>3184</v>
      </c>
      <c r="BL469" s="445" t="s">
        <v>3185</v>
      </c>
      <c r="BM469" s="445"/>
      <c r="BN469" s="445"/>
      <c r="BO469" s="445"/>
      <c r="BP469" s="445"/>
      <c r="BQ469" s="445" t="s">
        <v>1269</v>
      </c>
      <c r="BR469" s="445">
        <v>2</v>
      </c>
      <c r="BS469" s="445"/>
      <c r="BT469" s="445"/>
      <c r="BU469" s="445"/>
      <c r="BV469" s="445"/>
      <c r="BW469" s="445" t="s">
        <v>2327</v>
      </c>
      <c r="BX469" s="445"/>
      <c r="BY469" s="445"/>
    </row>
    <row r="470" spans="1:77" ht="15">
      <c r="A470" s="370" t="s">
        <v>1269</v>
      </c>
      <c r="B470" s="415" t="s">
        <v>216</v>
      </c>
      <c r="C470" s="416" t="s">
        <v>1682</v>
      </c>
      <c r="D470" s="444">
        <v>0</v>
      </c>
      <c r="E470" s="415" t="s">
        <v>1749</v>
      </c>
      <c r="F470" s="444">
        <v>3</v>
      </c>
      <c r="G470" s="415" t="s">
        <v>1750</v>
      </c>
      <c r="H470" s="444">
        <v>100</v>
      </c>
      <c r="I470" s="417" t="s">
        <v>1685</v>
      </c>
      <c r="J470" s="444">
        <v>1.5</v>
      </c>
      <c r="K470" s="444">
        <v>113</v>
      </c>
      <c r="L470" s="444"/>
      <c r="M470" s="444">
        <v>1</v>
      </c>
      <c r="N470" s="444">
        <v>3</v>
      </c>
      <c r="O470" s="444"/>
      <c r="P470" s="444"/>
      <c r="Q470" s="444">
        <v>0</v>
      </c>
      <c r="R470" s="444"/>
      <c r="S470" s="444">
        <v>0</v>
      </c>
      <c r="T470" s="444">
        <v>0</v>
      </c>
      <c r="U470" s="444">
        <v>7</v>
      </c>
      <c r="V470" s="444">
        <v>6</v>
      </c>
      <c r="W470" s="444">
        <v>43</v>
      </c>
      <c r="X470" s="418"/>
      <c r="Y470" s="445"/>
      <c r="Z470" s="420"/>
      <c r="AA470" s="421">
        <v>74.606999999999999</v>
      </c>
      <c r="AB470" s="421"/>
      <c r="AC470" s="454">
        <v>5</v>
      </c>
      <c r="AE470" s="445" t="s">
        <v>2362</v>
      </c>
      <c r="AF470" s="454">
        <v>1</v>
      </c>
      <c r="AG470" s="441">
        <v>43101</v>
      </c>
      <c r="AJ470" s="442">
        <v>43297</v>
      </c>
      <c r="AL470" s="446" t="s">
        <v>1019</v>
      </c>
      <c r="AO470" s="445"/>
      <c r="AP470" s="454">
        <v>556715</v>
      </c>
      <c r="AQ470" s="443">
        <v>43297</v>
      </c>
      <c r="AR470" s="370">
        <v>0.3</v>
      </c>
      <c r="AT470" s="447"/>
      <c r="AU470" s="447"/>
      <c r="AV470" s="447"/>
      <c r="AY470" s="427" t="s">
        <v>1559</v>
      </c>
      <c r="AZ470" s="373"/>
      <c r="BB470" s="374" t="s">
        <v>2214</v>
      </c>
      <c r="BC470" s="445"/>
      <c r="BE470" s="448"/>
      <c r="BF470" s="449"/>
      <c r="BG470" s="450"/>
      <c r="BH470" s="445"/>
      <c r="BI470" s="491"/>
      <c r="BJ470" s="491">
        <v>4</v>
      </c>
      <c r="BK470" s="445" t="s">
        <v>3186</v>
      </c>
      <c r="BL470" s="445" t="s">
        <v>3187</v>
      </c>
      <c r="BM470" s="445"/>
      <c r="BN470" s="445"/>
      <c r="BO470" s="445"/>
      <c r="BP470" s="445"/>
      <c r="BQ470" s="445" t="s">
        <v>1269</v>
      </c>
      <c r="BR470" s="445">
        <v>2</v>
      </c>
      <c r="BS470" s="445"/>
      <c r="BT470" s="445"/>
      <c r="BU470" s="445"/>
      <c r="BV470" s="445"/>
      <c r="BW470" s="445" t="s">
        <v>2327</v>
      </c>
      <c r="BX470" s="445"/>
      <c r="BY470" s="445"/>
    </row>
    <row r="471" spans="1:77" ht="15">
      <c r="A471" s="370" t="s">
        <v>1269</v>
      </c>
      <c r="B471" s="415" t="s">
        <v>216</v>
      </c>
      <c r="C471" s="416" t="s">
        <v>1682</v>
      </c>
      <c r="D471" s="444">
        <v>0</v>
      </c>
      <c r="E471" s="415" t="s">
        <v>1749</v>
      </c>
      <c r="F471" s="444">
        <v>3</v>
      </c>
      <c r="G471" s="415" t="s">
        <v>1750</v>
      </c>
      <c r="H471" s="444">
        <v>63</v>
      </c>
      <c r="I471" s="417" t="s">
        <v>1768</v>
      </c>
      <c r="J471" s="444">
        <v>0.5</v>
      </c>
      <c r="K471" s="444">
        <v>90</v>
      </c>
      <c r="L471" s="444"/>
      <c r="M471" s="444">
        <v>0</v>
      </c>
      <c r="N471" s="444">
        <v>6</v>
      </c>
      <c r="O471" s="444"/>
      <c r="P471" s="444"/>
      <c r="Q471" s="444">
        <v>0</v>
      </c>
      <c r="R471" s="444"/>
      <c r="S471" s="444">
        <v>0</v>
      </c>
      <c r="T471" s="444">
        <v>0</v>
      </c>
      <c r="U471" s="444">
        <v>2</v>
      </c>
      <c r="V471" s="444">
        <v>0</v>
      </c>
      <c r="W471" s="444">
        <v>56</v>
      </c>
      <c r="X471" s="418"/>
      <c r="Y471" s="445"/>
      <c r="Z471" s="420"/>
      <c r="AA471" s="421">
        <v>70.590999999999994</v>
      </c>
      <c r="AB471" s="421"/>
      <c r="AC471" s="454">
        <v>4</v>
      </c>
      <c r="AE471" s="445" t="s">
        <v>2371</v>
      </c>
      <c r="AF471" s="454">
        <v>1</v>
      </c>
      <c r="AG471" s="441">
        <v>43101</v>
      </c>
      <c r="AJ471" s="442">
        <v>43297</v>
      </c>
      <c r="AL471" s="446" t="s">
        <v>1019</v>
      </c>
      <c r="AO471" s="445"/>
      <c r="AP471" s="454">
        <v>556715</v>
      </c>
      <c r="AQ471" s="443">
        <v>43297</v>
      </c>
      <c r="AR471" s="370">
        <v>0.3</v>
      </c>
      <c r="AT471" s="447"/>
      <c r="AU471" s="447"/>
      <c r="AV471" s="447"/>
      <c r="AY471" s="427" t="s">
        <v>1559</v>
      </c>
      <c r="AZ471" s="373"/>
      <c r="BB471" s="374" t="s">
        <v>2214</v>
      </c>
      <c r="BC471" s="445"/>
      <c r="BE471" s="448"/>
      <c r="BF471" s="449"/>
      <c r="BG471" s="450"/>
      <c r="BH471" s="445"/>
      <c r="BI471" s="491"/>
      <c r="BJ471" s="491">
        <v>16</v>
      </c>
      <c r="BK471" s="445" t="s">
        <v>3188</v>
      </c>
      <c r="BL471" s="445" t="s">
        <v>3189</v>
      </c>
      <c r="BM471" s="445"/>
      <c r="BN471" s="445"/>
      <c r="BO471" s="445"/>
      <c r="BP471" s="445"/>
      <c r="BQ471" s="445" t="s">
        <v>1269</v>
      </c>
      <c r="BR471" s="445">
        <v>2</v>
      </c>
      <c r="BS471" s="445"/>
      <c r="BT471" s="445"/>
      <c r="BU471" s="445"/>
      <c r="BV471" s="445"/>
      <c r="BW471" s="445" t="s">
        <v>2327</v>
      </c>
      <c r="BX471" s="445"/>
      <c r="BY471" s="445"/>
    </row>
    <row r="472" spans="1:77" ht="15">
      <c r="A472" s="370" t="s">
        <v>1269</v>
      </c>
      <c r="B472" s="415" t="s">
        <v>132</v>
      </c>
      <c r="C472" s="416" t="s">
        <v>1682</v>
      </c>
      <c r="D472" s="444">
        <v>0</v>
      </c>
      <c r="E472" s="415" t="s">
        <v>1749</v>
      </c>
      <c r="F472" s="444">
        <v>3</v>
      </c>
      <c r="G472" s="415" t="s">
        <v>1750</v>
      </c>
      <c r="H472" s="444">
        <v>63</v>
      </c>
      <c r="I472" s="417" t="s">
        <v>1664</v>
      </c>
      <c r="J472" s="444">
        <v>9</v>
      </c>
      <c r="K472" s="444">
        <v>373</v>
      </c>
      <c r="L472" s="444"/>
      <c r="M472" s="444">
        <v>0</v>
      </c>
      <c r="N472" s="444">
        <v>16</v>
      </c>
      <c r="O472" s="444"/>
      <c r="P472" s="444"/>
      <c r="Q472" s="444">
        <v>0</v>
      </c>
      <c r="R472" s="444"/>
      <c r="S472" s="444">
        <v>0</v>
      </c>
      <c r="T472" s="444">
        <v>0</v>
      </c>
      <c r="U472" s="444">
        <v>0</v>
      </c>
      <c r="V472" s="444">
        <v>0</v>
      </c>
      <c r="W472" s="444">
        <v>303</v>
      </c>
      <c r="X472" s="418"/>
      <c r="Y472" s="445"/>
      <c r="Z472" s="420"/>
      <c r="AA472" s="421">
        <v>69.117000000000004</v>
      </c>
      <c r="AB472" s="421"/>
      <c r="AC472" s="454">
        <v>21</v>
      </c>
      <c r="AE472" s="445" t="s">
        <v>2372</v>
      </c>
      <c r="AF472" s="454">
        <v>1</v>
      </c>
      <c r="AG472" s="441">
        <v>43101</v>
      </c>
      <c r="AJ472" s="442">
        <v>43284</v>
      </c>
      <c r="AL472" s="446" t="s">
        <v>924</v>
      </c>
      <c r="AO472" s="445"/>
      <c r="AP472" s="454">
        <v>556714</v>
      </c>
      <c r="AQ472" s="443">
        <v>43284</v>
      </c>
      <c r="AR472" s="370">
        <v>0.3</v>
      </c>
      <c r="AT472" s="447"/>
      <c r="AU472" s="447"/>
      <c r="AV472" s="447"/>
      <c r="AY472" s="427" t="s">
        <v>1559</v>
      </c>
      <c r="AZ472" s="373"/>
      <c r="BB472" s="374" t="s">
        <v>2214</v>
      </c>
      <c r="BC472" s="445"/>
      <c r="BE472" s="448"/>
      <c r="BF472" s="449"/>
      <c r="BG472" s="450"/>
      <c r="BH472" s="445"/>
      <c r="BI472" s="491"/>
      <c r="BJ472" s="491">
        <v>3</v>
      </c>
      <c r="BK472" s="445" t="s">
        <v>3190</v>
      </c>
      <c r="BL472" s="445" t="s">
        <v>3191</v>
      </c>
      <c r="BM472" s="445"/>
      <c r="BN472" s="445"/>
      <c r="BO472" s="445"/>
      <c r="BP472" s="445"/>
      <c r="BQ472" s="445" t="s">
        <v>1269</v>
      </c>
      <c r="BR472" s="445">
        <v>2</v>
      </c>
      <c r="BS472" s="445"/>
      <c r="BT472" s="445"/>
      <c r="BU472" s="445"/>
      <c r="BV472" s="445"/>
      <c r="BW472" s="445" t="s">
        <v>2327</v>
      </c>
      <c r="BX472" s="445"/>
      <c r="BY472" s="445"/>
    </row>
    <row r="473" spans="1:77" ht="15">
      <c r="A473" s="370" t="s">
        <v>1269</v>
      </c>
      <c r="B473" s="415" t="s">
        <v>132</v>
      </c>
      <c r="C473" s="416" t="s">
        <v>1682</v>
      </c>
      <c r="D473" s="444">
        <v>0</v>
      </c>
      <c r="E473" s="415" t="s">
        <v>1749</v>
      </c>
      <c r="F473" s="444">
        <v>3</v>
      </c>
      <c r="G473" s="415" t="s">
        <v>1750</v>
      </c>
      <c r="H473" s="444">
        <v>114</v>
      </c>
      <c r="I473" s="417" t="s">
        <v>1683</v>
      </c>
      <c r="J473" s="444">
        <v>11.2</v>
      </c>
      <c r="K473" s="444">
        <v>232</v>
      </c>
      <c r="L473" s="444"/>
      <c r="M473" s="444">
        <v>0</v>
      </c>
      <c r="N473" s="444">
        <v>6</v>
      </c>
      <c r="O473" s="444"/>
      <c r="P473" s="444"/>
      <c r="Q473" s="444">
        <v>0</v>
      </c>
      <c r="R473" s="444"/>
      <c r="S473" s="444">
        <v>0</v>
      </c>
      <c r="T473" s="444">
        <v>0</v>
      </c>
      <c r="U473" s="444">
        <v>0</v>
      </c>
      <c r="V473" s="444">
        <v>0</v>
      </c>
      <c r="W473" s="444">
        <v>142</v>
      </c>
      <c r="X473" s="418"/>
      <c r="Y473" s="445"/>
      <c r="Z473" s="420"/>
      <c r="AA473" s="421">
        <v>80.480999999999995</v>
      </c>
      <c r="AB473" s="421"/>
      <c r="AC473" s="454">
        <v>10</v>
      </c>
      <c r="AE473" s="445" t="s">
        <v>2373</v>
      </c>
      <c r="AF473" s="454">
        <v>1</v>
      </c>
      <c r="AG473" s="441">
        <v>43101</v>
      </c>
      <c r="AJ473" s="442">
        <v>43284</v>
      </c>
      <c r="AL473" s="446" t="s">
        <v>919</v>
      </c>
      <c r="AO473" s="445"/>
      <c r="AP473" s="454">
        <v>556714</v>
      </c>
      <c r="AQ473" s="443">
        <v>43284</v>
      </c>
      <c r="AR473" s="370">
        <v>0.3</v>
      </c>
      <c r="AT473" s="447"/>
      <c r="AU473" s="447"/>
      <c r="AV473" s="447"/>
      <c r="AY473" s="427" t="s">
        <v>1559</v>
      </c>
      <c r="AZ473" s="373"/>
      <c r="BB473" s="374" t="s">
        <v>2214</v>
      </c>
      <c r="BC473" s="445"/>
      <c r="BE473" s="448"/>
      <c r="BF473" s="449"/>
      <c r="BG473" s="450"/>
      <c r="BH473" s="445"/>
      <c r="BI473" s="491"/>
      <c r="BJ473" s="491">
        <v>4</v>
      </c>
      <c r="BK473" s="445" t="s">
        <v>248</v>
      </c>
      <c r="BL473" s="445" t="s">
        <v>3192</v>
      </c>
      <c r="BM473" s="445"/>
      <c r="BN473" s="445"/>
      <c r="BO473" s="445"/>
      <c r="BP473" s="445"/>
      <c r="BQ473" s="445" t="s">
        <v>1269</v>
      </c>
      <c r="BR473" s="445"/>
      <c r="BS473" s="445"/>
      <c r="BT473" s="445"/>
      <c r="BU473" s="445"/>
      <c r="BV473" s="445"/>
      <c r="BW473" s="445" t="s">
        <v>2327</v>
      </c>
      <c r="BX473" s="445"/>
      <c r="BY473" s="445"/>
    </row>
    <row r="474" spans="1:77" ht="15">
      <c r="A474" s="370" t="s">
        <v>1269</v>
      </c>
      <c r="B474" s="415" t="s">
        <v>85</v>
      </c>
      <c r="C474" s="416" t="s">
        <v>2131</v>
      </c>
      <c r="D474" s="444">
        <v>0</v>
      </c>
      <c r="E474" s="415" t="s">
        <v>1749</v>
      </c>
      <c r="F474" s="444">
        <v>3</v>
      </c>
      <c r="G474" s="415" t="s">
        <v>1750</v>
      </c>
      <c r="H474" s="444">
        <v>10</v>
      </c>
      <c r="I474" s="417" t="s">
        <v>1768</v>
      </c>
      <c r="J474" s="444">
        <v>0.9</v>
      </c>
      <c r="K474" s="444">
        <v>74</v>
      </c>
      <c r="L474" s="444"/>
      <c r="M474" s="444">
        <v>66</v>
      </c>
      <c r="N474" s="444">
        <v>0</v>
      </c>
      <c r="O474" s="444"/>
      <c r="P474" s="444"/>
      <c r="Q474" s="444">
        <v>0</v>
      </c>
      <c r="R474" s="444"/>
      <c r="S474" s="444">
        <v>10</v>
      </c>
      <c r="T474" s="444">
        <v>0</v>
      </c>
      <c r="U474" s="444">
        <v>0</v>
      </c>
      <c r="V474" s="444">
        <v>0</v>
      </c>
      <c r="W474" s="444">
        <v>5</v>
      </c>
      <c r="X474" s="418"/>
      <c r="Y474" s="445"/>
      <c r="Z474" s="420"/>
      <c r="AA474" s="421">
        <v>32.909999999999997</v>
      </c>
      <c r="AB474" s="421"/>
      <c r="AC474" s="454">
        <v>9</v>
      </c>
      <c r="AE474" s="445" t="s">
        <v>2374</v>
      </c>
      <c r="AF474" s="454">
        <v>1</v>
      </c>
      <c r="AG474" s="441">
        <v>43101</v>
      </c>
      <c r="AJ474" s="442">
        <v>43283</v>
      </c>
      <c r="AL474" s="446" t="s">
        <v>910</v>
      </c>
      <c r="AO474" s="445"/>
      <c r="AP474" s="454">
        <v>556672</v>
      </c>
      <c r="AQ474" s="443">
        <v>43214</v>
      </c>
      <c r="AR474" s="370">
        <v>0.3</v>
      </c>
      <c r="AT474" s="447"/>
      <c r="AU474" s="447"/>
      <c r="AV474" s="447"/>
      <c r="AY474" s="427" t="s">
        <v>1717</v>
      </c>
      <c r="AZ474" s="373"/>
      <c r="BB474" s="374" t="s">
        <v>1727</v>
      </c>
      <c r="BC474" s="445"/>
      <c r="BE474" s="448"/>
      <c r="BF474" s="449"/>
      <c r="BG474" s="450"/>
      <c r="BH474" s="445"/>
      <c r="BI474" s="491"/>
      <c r="BJ474" s="491">
        <v>2</v>
      </c>
      <c r="BK474" s="445" t="s">
        <v>3193</v>
      </c>
      <c r="BL474" s="445" t="s">
        <v>3194</v>
      </c>
      <c r="BM474" s="445"/>
      <c r="BN474" s="445"/>
      <c r="BO474" s="445"/>
      <c r="BP474" s="445"/>
      <c r="BQ474" s="445" t="s">
        <v>1269</v>
      </c>
      <c r="BR474" s="445"/>
      <c r="BS474" s="445"/>
      <c r="BT474" s="445"/>
      <c r="BU474" s="445"/>
      <c r="BV474" s="445"/>
      <c r="BW474" s="445" t="s">
        <v>2327</v>
      </c>
      <c r="BX474" s="445"/>
      <c r="BY474" s="445"/>
    </row>
    <row r="475" spans="1:77" ht="15">
      <c r="A475" s="370" t="s">
        <v>1783</v>
      </c>
      <c r="B475" s="415" t="s">
        <v>132</v>
      </c>
      <c r="C475" s="416" t="s">
        <v>1693</v>
      </c>
      <c r="D475" s="444">
        <v>0</v>
      </c>
      <c r="E475" s="415" t="s">
        <v>1749</v>
      </c>
      <c r="F475" s="444">
        <v>3</v>
      </c>
      <c r="G475" s="415" t="s">
        <v>1750</v>
      </c>
      <c r="H475" s="444">
        <v>18</v>
      </c>
      <c r="I475" s="417" t="s">
        <v>1659</v>
      </c>
      <c r="J475" s="444">
        <v>3.1</v>
      </c>
      <c r="K475" s="444">
        <v>0</v>
      </c>
      <c r="L475" s="444"/>
      <c r="M475" s="444">
        <v>0</v>
      </c>
      <c r="N475" s="444">
        <v>0</v>
      </c>
      <c r="O475" s="444"/>
      <c r="P475" s="444"/>
      <c r="Q475" s="444">
        <v>216.67</v>
      </c>
      <c r="R475" s="444"/>
      <c r="S475" s="444">
        <v>0</v>
      </c>
      <c r="T475" s="444">
        <v>205</v>
      </c>
      <c r="U475" s="444"/>
      <c r="V475" s="444">
        <v>0</v>
      </c>
      <c r="W475" s="444">
        <v>0</v>
      </c>
      <c r="X475" s="418"/>
      <c r="Y475" s="445"/>
      <c r="Z475" s="420"/>
      <c r="AA475" s="421">
        <v>127</v>
      </c>
      <c r="AB475" s="421"/>
      <c r="AC475" s="454">
        <v>23</v>
      </c>
      <c r="AE475" s="445" t="s">
        <v>2375</v>
      </c>
      <c r="AF475" s="454">
        <v>1</v>
      </c>
      <c r="AG475" s="441">
        <v>43101</v>
      </c>
      <c r="AJ475" s="442">
        <v>43283</v>
      </c>
      <c r="AL475" s="446" t="s">
        <v>911</v>
      </c>
      <c r="AO475" s="445"/>
      <c r="AP475" s="454">
        <v>556634</v>
      </c>
      <c r="AQ475" s="443">
        <v>43102</v>
      </c>
      <c r="AR475" s="370">
        <v>0.5</v>
      </c>
      <c r="AT475" s="447"/>
      <c r="AU475" s="447"/>
      <c r="AV475" s="447"/>
      <c r="AY475" s="427" t="s">
        <v>1559</v>
      </c>
      <c r="AZ475" s="373"/>
      <c r="BB475" s="374" t="s">
        <v>2214</v>
      </c>
      <c r="BC475" s="445"/>
      <c r="BE475" s="448"/>
      <c r="BF475" s="449"/>
      <c r="BG475" s="450"/>
      <c r="BH475" s="445"/>
      <c r="BI475" s="491"/>
      <c r="BJ475" s="491">
        <v>5</v>
      </c>
      <c r="BK475" s="445" t="s">
        <v>1847</v>
      </c>
      <c r="BL475" s="445" t="s">
        <v>2653</v>
      </c>
      <c r="BM475" s="445"/>
      <c r="BN475" s="445"/>
      <c r="BO475" s="445"/>
      <c r="BP475" s="445"/>
      <c r="BQ475" s="445" t="s">
        <v>1783</v>
      </c>
      <c r="BR475" s="445">
        <v>5</v>
      </c>
      <c r="BS475" s="445"/>
      <c r="BT475" s="445"/>
      <c r="BU475" s="445"/>
      <c r="BV475" s="445"/>
      <c r="BW475" s="445" t="s">
        <v>2327</v>
      </c>
      <c r="BX475" s="445"/>
      <c r="BY475" s="445"/>
    </row>
    <row r="476" spans="1:77" ht="15">
      <c r="A476" s="370" t="s">
        <v>1783</v>
      </c>
      <c r="B476" s="415" t="s">
        <v>132</v>
      </c>
      <c r="C476" s="416" t="s">
        <v>2081</v>
      </c>
      <c r="D476" s="444">
        <v>0</v>
      </c>
      <c r="E476" s="415" t="s">
        <v>1749</v>
      </c>
      <c r="F476" s="444">
        <v>3</v>
      </c>
      <c r="G476" s="415" t="s">
        <v>1750</v>
      </c>
      <c r="H476" s="444">
        <v>30</v>
      </c>
      <c r="I476" s="417" t="s">
        <v>1688</v>
      </c>
      <c r="J476" s="444">
        <v>1.5</v>
      </c>
      <c r="K476" s="444">
        <v>0</v>
      </c>
      <c r="L476" s="444"/>
      <c r="M476" s="444">
        <v>0</v>
      </c>
      <c r="N476" s="444">
        <v>170</v>
      </c>
      <c r="O476" s="444"/>
      <c r="P476" s="444"/>
      <c r="Q476" s="444">
        <v>0</v>
      </c>
      <c r="R476" s="444"/>
      <c r="S476" s="444">
        <v>0</v>
      </c>
      <c r="T476" s="444">
        <v>0</v>
      </c>
      <c r="U476" s="444"/>
      <c r="V476" s="444">
        <v>0</v>
      </c>
      <c r="W476" s="444">
        <v>0</v>
      </c>
      <c r="X476" s="418"/>
      <c r="Y476" s="445"/>
      <c r="Z476" s="420"/>
      <c r="AA476" s="421">
        <v>185.6</v>
      </c>
      <c r="AB476" s="421"/>
      <c r="AC476" s="454">
        <v>23</v>
      </c>
      <c r="AE476" s="445" t="s">
        <v>2376</v>
      </c>
      <c r="AF476" s="454">
        <v>1</v>
      </c>
      <c r="AG476" s="441">
        <v>43101</v>
      </c>
      <c r="AJ476" s="442">
        <v>43283</v>
      </c>
      <c r="AL476" s="446" t="s">
        <v>911</v>
      </c>
      <c r="AO476" s="445"/>
      <c r="AP476" s="454">
        <v>556665</v>
      </c>
      <c r="AQ476" s="443">
        <v>43192</v>
      </c>
      <c r="AR476" s="370">
        <v>0.3</v>
      </c>
      <c r="AT476" s="447"/>
      <c r="AU476" s="447"/>
      <c r="AV476" s="447"/>
      <c r="AY476" s="427" t="s">
        <v>1559</v>
      </c>
      <c r="AZ476" s="373"/>
      <c r="BB476" s="374" t="s">
        <v>2214</v>
      </c>
      <c r="BC476" s="445"/>
      <c r="BE476" s="448"/>
      <c r="BF476" s="449"/>
      <c r="BG476" s="450"/>
      <c r="BH476" s="445"/>
      <c r="BI476" s="491"/>
      <c r="BJ476" s="491">
        <v>6</v>
      </c>
      <c r="BK476" s="445" t="s">
        <v>3195</v>
      </c>
      <c r="BL476" s="445" t="s">
        <v>3196</v>
      </c>
      <c r="BM476" s="445"/>
      <c r="BN476" s="445"/>
      <c r="BO476" s="445"/>
      <c r="BP476" s="445"/>
      <c r="BQ476" s="445" t="s">
        <v>1783</v>
      </c>
      <c r="BR476" s="445">
        <v>2</v>
      </c>
      <c r="BS476" s="445"/>
      <c r="BT476" s="445"/>
      <c r="BU476" s="445"/>
      <c r="BV476" s="445"/>
      <c r="BW476" s="445" t="s">
        <v>2327</v>
      </c>
      <c r="BX476" s="445"/>
      <c r="BY476" s="445"/>
    </row>
    <row r="477" spans="1:77" ht="15">
      <c r="A477" s="370" t="s">
        <v>1269</v>
      </c>
      <c r="B477" s="415" t="s">
        <v>19</v>
      </c>
      <c r="C477" s="416" t="s">
        <v>1693</v>
      </c>
      <c r="D477" s="444">
        <v>0</v>
      </c>
      <c r="E477" s="415" t="s">
        <v>1749</v>
      </c>
      <c r="F477" s="444">
        <v>3</v>
      </c>
      <c r="G477" s="415" t="s">
        <v>1750</v>
      </c>
      <c r="H477" s="444">
        <v>28</v>
      </c>
      <c r="I477" s="417" t="s">
        <v>1664</v>
      </c>
      <c r="J477" s="444">
        <v>6.2</v>
      </c>
      <c r="K477" s="444">
        <v>564</v>
      </c>
      <c r="L477" s="444"/>
      <c r="M477" s="444">
        <v>0</v>
      </c>
      <c r="N477" s="444">
        <v>0</v>
      </c>
      <c r="O477" s="444"/>
      <c r="P477" s="444"/>
      <c r="Q477" s="444">
        <v>0</v>
      </c>
      <c r="R477" s="444"/>
      <c r="S477" s="444">
        <v>0</v>
      </c>
      <c r="T477" s="444">
        <v>0</v>
      </c>
      <c r="U477" s="444">
        <v>0</v>
      </c>
      <c r="V477" s="444">
        <v>0</v>
      </c>
      <c r="W477" s="444">
        <v>43</v>
      </c>
      <c r="X477" s="418"/>
      <c r="Y477" s="445"/>
      <c r="Z477" s="420"/>
      <c r="AA477" s="421">
        <v>210.167</v>
      </c>
      <c r="AB477" s="421"/>
      <c r="AC477" s="454">
        <v>1</v>
      </c>
      <c r="AE477" s="445" t="s">
        <v>2377</v>
      </c>
      <c r="AF477" s="454">
        <v>1</v>
      </c>
      <c r="AG477" s="441">
        <v>43101</v>
      </c>
      <c r="AJ477" s="442">
        <v>43283</v>
      </c>
      <c r="AL477" s="446" t="s">
        <v>999</v>
      </c>
      <c r="AO477" s="445"/>
      <c r="AP477" s="454">
        <v>556640</v>
      </c>
      <c r="AQ477" s="443">
        <v>43102</v>
      </c>
      <c r="AR477" s="370">
        <v>0.3</v>
      </c>
      <c r="AT477" s="447"/>
      <c r="AU477" s="447"/>
      <c r="AV477" s="447"/>
      <c r="AY477" s="427" t="s">
        <v>1559</v>
      </c>
      <c r="AZ477" s="373"/>
      <c r="BB477" s="374" t="s">
        <v>2214</v>
      </c>
      <c r="BC477" s="445"/>
      <c r="BE477" s="448"/>
      <c r="BF477" s="449"/>
      <c r="BG477" s="450"/>
      <c r="BH477" s="445"/>
      <c r="BI477" s="491"/>
      <c r="BJ477" s="491">
        <v>17</v>
      </c>
      <c r="BK477" s="445" t="s">
        <v>2977</v>
      </c>
      <c r="BL477" s="445" t="s">
        <v>2978</v>
      </c>
      <c r="BM477" s="445"/>
      <c r="BN477" s="445"/>
      <c r="BO477" s="445"/>
      <c r="BP477" s="445"/>
      <c r="BQ477" s="445" t="s">
        <v>1269</v>
      </c>
      <c r="BR477" s="445"/>
      <c r="BS477" s="445"/>
      <c r="BT477" s="445"/>
      <c r="BU477" s="445"/>
      <c r="BV477" s="445"/>
      <c r="BW477" s="445" t="s">
        <v>2327</v>
      </c>
      <c r="BX477" s="445"/>
      <c r="BY477" s="445"/>
    </row>
    <row r="478" spans="1:77" ht="15">
      <c r="A478" s="370" t="s">
        <v>31</v>
      </c>
      <c r="B478" s="415" t="s">
        <v>132</v>
      </c>
      <c r="C478" s="416" t="s">
        <v>31</v>
      </c>
      <c r="D478" s="444">
        <v>0</v>
      </c>
      <c r="E478" s="415" t="s">
        <v>1716</v>
      </c>
      <c r="F478" s="444">
        <v>2</v>
      </c>
      <c r="G478" s="415" t="s">
        <v>1661</v>
      </c>
      <c r="H478" s="444">
        <v>45</v>
      </c>
      <c r="I478" s="417" t="s">
        <v>1632</v>
      </c>
      <c r="J478" s="444">
        <v>2.9</v>
      </c>
      <c r="K478" s="444">
        <v>1625</v>
      </c>
      <c r="L478" s="444">
        <v>0</v>
      </c>
      <c r="M478" s="444">
        <v>1</v>
      </c>
      <c r="N478" s="444">
        <v>403</v>
      </c>
      <c r="O478" s="444">
        <v>0</v>
      </c>
      <c r="P478" s="444">
        <v>0</v>
      </c>
      <c r="Q478" s="444">
        <v>49</v>
      </c>
      <c r="R478" s="444">
        <v>25</v>
      </c>
      <c r="S478" s="444">
        <v>28</v>
      </c>
      <c r="T478" s="444">
        <v>328</v>
      </c>
      <c r="U478" s="444">
        <v>9</v>
      </c>
      <c r="V478" s="444">
        <v>24</v>
      </c>
      <c r="W478" s="444">
        <v>222</v>
      </c>
      <c r="X478" s="418"/>
      <c r="Y478" s="445"/>
      <c r="Z478" s="420"/>
      <c r="AA478" s="421">
        <v>74.144999999999996</v>
      </c>
      <c r="AB478" s="421">
        <v>34.731999999999999</v>
      </c>
      <c r="AC478" s="454">
        <v>75</v>
      </c>
      <c r="AE478" s="445" t="s">
        <v>2378</v>
      </c>
      <c r="AF478" s="454">
        <v>1</v>
      </c>
      <c r="AG478" s="441">
        <v>43101</v>
      </c>
      <c r="AJ478" s="442">
        <v>43283</v>
      </c>
      <c r="AL478" s="446" t="s">
        <v>888</v>
      </c>
      <c r="AO478" s="445"/>
      <c r="AP478" s="454">
        <v>556617</v>
      </c>
      <c r="AQ478" s="443">
        <v>43077</v>
      </c>
      <c r="AT478" s="447"/>
      <c r="AU478" s="447"/>
      <c r="AV478" s="447"/>
      <c r="AY478" s="427" t="s">
        <v>1559</v>
      </c>
      <c r="AZ478" s="373"/>
      <c r="BB478" s="374" t="s">
        <v>2214</v>
      </c>
      <c r="BC478" s="445"/>
      <c r="BE478" s="448">
        <v>5</v>
      </c>
      <c r="BF478" s="449">
        <v>40</v>
      </c>
      <c r="BG478" s="450" t="s">
        <v>1764</v>
      </c>
      <c r="BH478" s="445"/>
      <c r="BI478" s="491"/>
      <c r="BJ478" s="491">
        <v>1</v>
      </c>
      <c r="BK478" s="445" t="s">
        <v>3197</v>
      </c>
      <c r="BL478" s="445" t="s">
        <v>3198</v>
      </c>
      <c r="BM478" s="445"/>
      <c r="BN478" s="445" t="s">
        <v>1765</v>
      </c>
      <c r="BO478" s="445" t="s">
        <v>1765</v>
      </c>
      <c r="BP478" s="445" t="s">
        <v>1765</v>
      </c>
      <c r="BQ478" s="445" t="s">
        <v>31</v>
      </c>
      <c r="BR478" s="445"/>
      <c r="BS478" s="445"/>
      <c r="BT478" s="445"/>
      <c r="BU478" s="445"/>
      <c r="BV478" s="445"/>
      <c r="BW478" s="445" t="s">
        <v>2379</v>
      </c>
      <c r="BX478" s="445"/>
      <c r="BY478" s="445"/>
    </row>
    <row r="479" spans="1:77" ht="15">
      <c r="A479" s="370" t="s">
        <v>31</v>
      </c>
      <c r="B479" s="415" t="s">
        <v>296</v>
      </c>
      <c r="C479" s="416" t="s">
        <v>31</v>
      </c>
      <c r="D479" s="444">
        <v>0</v>
      </c>
      <c r="E479" s="415" t="s">
        <v>1716</v>
      </c>
      <c r="F479" s="444">
        <v>2</v>
      </c>
      <c r="G479" s="415" t="s">
        <v>1661</v>
      </c>
      <c r="H479" s="444">
        <v>10</v>
      </c>
      <c r="I479" s="417" t="s">
        <v>1632</v>
      </c>
      <c r="J479" s="444">
        <v>1.4</v>
      </c>
      <c r="K479" s="444">
        <v>779</v>
      </c>
      <c r="L479" s="444">
        <v>0</v>
      </c>
      <c r="M479" s="444">
        <v>1</v>
      </c>
      <c r="N479" s="444">
        <v>175</v>
      </c>
      <c r="O479" s="444">
        <v>0</v>
      </c>
      <c r="P479" s="444">
        <v>0</v>
      </c>
      <c r="Q479" s="444">
        <v>14</v>
      </c>
      <c r="R479" s="444">
        <v>58</v>
      </c>
      <c r="S479" s="444">
        <v>3</v>
      </c>
      <c r="T479" s="444">
        <v>95</v>
      </c>
      <c r="U479" s="444">
        <v>20</v>
      </c>
      <c r="V479" s="444">
        <v>3</v>
      </c>
      <c r="W479" s="444">
        <v>66</v>
      </c>
      <c r="X479" s="418"/>
      <c r="Y479" s="445"/>
      <c r="Z479" s="420"/>
      <c r="AA479" s="421">
        <v>79.641999999999996</v>
      </c>
      <c r="AB479" s="421">
        <v>38.442999999999998</v>
      </c>
      <c r="AC479" s="454">
        <v>34</v>
      </c>
      <c r="AE479" s="445" t="s">
        <v>2380</v>
      </c>
      <c r="AF479" s="454">
        <v>1</v>
      </c>
      <c r="AG479" s="441">
        <v>43101</v>
      </c>
      <c r="AJ479" s="442">
        <v>43283</v>
      </c>
      <c r="AL479" s="446" t="s">
        <v>1025</v>
      </c>
      <c r="AO479" s="445"/>
      <c r="AP479" s="454">
        <v>556622</v>
      </c>
      <c r="AQ479" s="443">
        <v>43077</v>
      </c>
      <c r="AT479" s="447"/>
      <c r="AU479" s="447"/>
      <c r="AV479" s="447"/>
      <c r="AY479" s="427" t="s">
        <v>1722</v>
      </c>
      <c r="AZ479" s="373"/>
      <c r="BB479" s="374" t="s">
        <v>1728</v>
      </c>
      <c r="BC479" s="445"/>
      <c r="BE479" s="448">
        <v>10</v>
      </c>
      <c r="BF479" s="449">
        <v>40</v>
      </c>
      <c r="BG479" s="450" t="s">
        <v>1764</v>
      </c>
      <c r="BH479" s="445"/>
      <c r="BI479" s="491"/>
      <c r="BJ479" s="491">
        <v>1</v>
      </c>
      <c r="BK479" s="445" t="s">
        <v>328</v>
      </c>
      <c r="BL479" s="445" t="s">
        <v>3199</v>
      </c>
      <c r="BM479" s="445"/>
      <c r="BN479" s="445" t="s">
        <v>1765</v>
      </c>
      <c r="BO479" s="445" t="s">
        <v>1765</v>
      </c>
      <c r="BP479" s="445" t="s">
        <v>1765</v>
      </c>
      <c r="BQ479" s="445" t="s">
        <v>31</v>
      </c>
      <c r="BR479" s="445"/>
      <c r="BS479" s="445"/>
      <c r="BT479" s="445"/>
      <c r="BU479" s="445"/>
      <c r="BV479" s="445"/>
      <c r="BW479" s="445" t="s">
        <v>2381</v>
      </c>
      <c r="BX479" s="445"/>
      <c r="BY479" s="445"/>
    </row>
    <row r="480" spans="1:77" ht="15">
      <c r="A480" s="370" t="s">
        <v>1269</v>
      </c>
      <c r="B480" s="415" t="s">
        <v>296</v>
      </c>
      <c r="C480" s="416" t="s">
        <v>1682</v>
      </c>
      <c r="D480" s="444">
        <v>0</v>
      </c>
      <c r="E480" s="415" t="s">
        <v>1749</v>
      </c>
      <c r="F480" s="444">
        <v>3</v>
      </c>
      <c r="G480" s="415" t="s">
        <v>1750</v>
      </c>
      <c r="H480" s="444">
        <v>21</v>
      </c>
      <c r="I480" s="417" t="s">
        <v>1428</v>
      </c>
      <c r="J480" s="444">
        <v>13.9</v>
      </c>
      <c r="K480" s="444">
        <v>607</v>
      </c>
      <c r="L480" s="444"/>
      <c r="M480" s="444">
        <v>0</v>
      </c>
      <c r="N480" s="444">
        <v>20</v>
      </c>
      <c r="O480" s="444"/>
      <c r="P480" s="444"/>
      <c r="Q480" s="444">
        <v>0</v>
      </c>
      <c r="R480" s="444"/>
      <c r="S480" s="444">
        <v>0</v>
      </c>
      <c r="T480" s="444">
        <v>0</v>
      </c>
      <c r="U480" s="444">
        <v>3</v>
      </c>
      <c r="V480" s="444">
        <v>0</v>
      </c>
      <c r="W480" s="444">
        <v>275</v>
      </c>
      <c r="X480" s="418"/>
      <c r="Y480" s="445"/>
      <c r="Z480" s="420"/>
      <c r="AA480" s="421">
        <v>82.638000000000005</v>
      </c>
      <c r="AB480" s="421"/>
      <c r="AC480" s="454">
        <v>22</v>
      </c>
      <c r="AE480" s="445" t="s">
        <v>2382</v>
      </c>
      <c r="AF480" s="454">
        <v>1</v>
      </c>
      <c r="AG480" s="441">
        <v>43101</v>
      </c>
      <c r="AJ480" s="442">
        <v>43305</v>
      </c>
      <c r="AL480" s="446" t="s">
        <v>1024</v>
      </c>
      <c r="AO480" s="445"/>
      <c r="AP480" s="454">
        <v>556716</v>
      </c>
      <c r="AQ480" s="443">
        <v>43305</v>
      </c>
      <c r="AR480" s="370">
        <v>0.3</v>
      </c>
      <c r="AT480" s="447"/>
      <c r="AU480" s="447"/>
      <c r="AV480" s="447"/>
      <c r="AY480" s="427" t="s">
        <v>1722</v>
      </c>
      <c r="AZ480" s="373"/>
      <c r="BB480" s="374" t="s">
        <v>1728</v>
      </c>
      <c r="BC480" s="445"/>
      <c r="BE480" s="448"/>
      <c r="BF480" s="449"/>
      <c r="BG480" s="450"/>
      <c r="BH480" s="445"/>
      <c r="BI480" s="491"/>
      <c r="BJ480" s="491">
        <v>4</v>
      </c>
      <c r="BK480" s="445" t="s">
        <v>235</v>
      </c>
      <c r="BL480" s="445" t="s">
        <v>3200</v>
      </c>
      <c r="BM480" s="445"/>
      <c r="BN480" s="445"/>
      <c r="BO480" s="445"/>
      <c r="BP480" s="445"/>
      <c r="BQ480" s="445" t="s">
        <v>1269</v>
      </c>
      <c r="BR480" s="445"/>
      <c r="BS480" s="445"/>
      <c r="BT480" s="445"/>
      <c r="BU480" s="445"/>
      <c r="BV480" s="445"/>
      <c r="BW480" s="445" t="s">
        <v>2381</v>
      </c>
      <c r="BX480" s="445"/>
      <c r="BY480" s="445"/>
    </row>
    <row r="481" spans="1:77" ht="15">
      <c r="A481" s="370" t="s">
        <v>1269</v>
      </c>
      <c r="B481" s="415" t="s">
        <v>296</v>
      </c>
      <c r="C481" s="416" t="s">
        <v>1682</v>
      </c>
      <c r="D481" s="444">
        <v>0</v>
      </c>
      <c r="E481" s="415" t="s">
        <v>1749</v>
      </c>
      <c r="F481" s="444">
        <v>3</v>
      </c>
      <c r="G481" s="415" t="s">
        <v>1750</v>
      </c>
      <c r="H481" s="444">
        <v>75</v>
      </c>
      <c r="I481" s="417" t="s">
        <v>1632</v>
      </c>
      <c r="J481" s="444">
        <v>5.7</v>
      </c>
      <c r="K481" s="444">
        <v>298</v>
      </c>
      <c r="L481" s="444"/>
      <c r="M481" s="444">
        <v>0</v>
      </c>
      <c r="N481" s="444">
        <v>8</v>
      </c>
      <c r="O481" s="444"/>
      <c r="P481" s="444"/>
      <c r="Q481" s="444">
        <v>0</v>
      </c>
      <c r="R481" s="444"/>
      <c r="S481" s="444">
        <v>0</v>
      </c>
      <c r="T481" s="444">
        <v>0</v>
      </c>
      <c r="U481" s="444">
        <v>0</v>
      </c>
      <c r="V481" s="444">
        <v>0</v>
      </c>
      <c r="W481" s="444">
        <v>108</v>
      </c>
      <c r="X481" s="418"/>
      <c r="Y481" s="445"/>
      <c r="Z481" s="420"/>
      <c r="AA481" s="421">
        <v>86.736000000000004</v>
      </c>
      <c r="AB481" s="421"/>
      <c r="AC481" s="454">
        <v>11</v>
      </c>
      <c r="AE481" s="445" t="s">
        <v>2383</v>
      </c>
      <c r="AF481" s="454">
        <v>1</v>
      </c>
      <c r="AG481" s="441">
        <v>43101</v>
      </c>
      <c r="AJ481" s="442">
        <v>43305</v>
      </c>
      <c r="AL481" s="446" t="s">
        <v>915</v>
      </c>
      <c r="AO481" s="445"/>
      <c r="AP481" s="454">
        <v>556716</v>
      </c>
      <c r="AQ481" s="443">
        <v>43305</v>
      </c>
      <c r="AR481" s="370">
        <v>0.3</v>
      </c>
      <c r="AT481" s="447"/>
      <c r="AU481" s="447"/>
      <c r="AV481" s="447"/>
      <c r="AY481" s="427" t="s">
        <v>1722</v>
      </c>
      <c r="AZ481" s="373"/>
      <c r="BB481" s="374" t="s">
        <v>1728</v>
      </c>
      <c r="BC481" s="445"/>
      <c r="BE481" s="448"/>
      <c r="BF481" s="449"/>
      <c r="BG481" s="450"/>
      <c r="BH481" s="445"/>
      <c r="BI481" s="491"/>
      <c r="BJ481" s="491">
        <v>5</v>
      </c>
      <c r="BK481" s="445" t="s">
        <v>3201</v>
      </c>
      <c r="BL481" s="445" t="s">
        <v>3202</v>
      </c>
      <c r="BM481" s="445"/>
      <c r="BN481" s="445"/>
      <c r="BO481" s="445"/>
      <c r="BP481" s="445"/>
      <c r="BQ481" s="445" t="s">
        <v>1269</v>
      </c>
      <c r="BR481" s="445"/>
      <c r="BS481" s="445"/>
      <c r="BT481" s="445"/>
      <c r="BU481" s="445"/>
      <c r="BV481" s="445"/>
      <c r="BW481" s="445" t="s">
        <v>2381</v>
      </c>
      <c r="BX481" s="445"/>
      <c r="BY481" s="445"/>
    </row>
    <row r="482" spans="1:77" ht="15">
      <c r="A482" s="370" t="s">
        <v>1269</v>
      </c>
      <c r="B482" s="415" t="s">
        <v>296</v>
      </c>
      <c r="C482" s="416" t="s">
        <v>1682</v>
      </c>
      <c r="D482" s="444">
        <v>0</v>
      </c>
      <c r="E482" s="415" t="s">
        <v>1749</v>
      </c>
      <c r="F482" s="444">
        <v>3</v>
      </c>
      <c r="G482" s="415" t="s">
        <v>1750</v>
      </c>
      <c r="H482" s="444">
        <v>132</v>
      </c>
      <c r="I482" s="417" t="s">
        <v>1685</v>
      </c>
      <c r="J482" s="444">
        <v>0.1</v>
      </c>
      <c r="K482" s="444">
        <v>282</v>
      </c>
      <c r="L482" s="444"/>
      <c r="M482" s="444">
        <v>0</v>
      </c>
      <c r="N482" s="444">
        <v>2</v>
      </c>
      <c r="O482" s="444"/>
      <c r="P482" s="444"/>
      <c r="Q482" s="444">
        <v>0</v>
      </c>
      <c r="R482" s="444"/>
      <c r="S482" s="444">
        <v>0</v>
      </c>
      <c r="T482" s="444">
        <v>0</v>
      </c>
      <c r="U482" s="444">
        <v>0</v>
      </c>
      <c r="V482" s="444">
        <v>0</v>
      </c>
      <c r="W482" s="444">
        <v>124</v>
      </c>
      <c r="X482" s="418"/>
      <c r="Y482" s="445"/>
      <c r="Z482" s="420"/>
      <c r="AA482" s="421">
        <v>100.926</v>
      </c>
      <c r="AB482" s="421"/>
      <c r="AC482" s="454">
        <v>8</v>
      </c>
      <c r="AE482" s="445" t="s">
        <v>2384</v>
      </c>
      <c r="AF482" s="454">
        <v>1</v>
      </c>
      <c r="AG482" s="441">
        <v>43101</v>
      </c>
      <c r="AJ482" s="442">
        <v>43305</v>
      </c>
      <c r="AL482" s="446" t="s">
        <v>1976</v>
      </c>
      <c r="AO482" s="445"/>
      <c r="AP482" s="454">
        <v>556716</v>
      </c>
      <c r="AQ482" s="443">
        <v>43305</v>
      </c>
      <c r="AR482" s="370">
        <v>0.3</v>
      </c>
      <c r="AT482" s="447"/>
      <c r="AU482" s="447"/>
      <c r="AV482" s="447"/>
      <c r="AY482" s="427" t="s">
        <v>1722</v>
      </c>
      <c r="AZ482" s="373"/>
      <c r="BB482" s="374" t="s">
        <v>1728</v>
      </c>
      <c r="BC482" s="445"/>
      <c r="BE482" s="448"/>
      <c r="BF482" s="449"/>
      <c r="BG482" s="450"/>
      <c r="BH482" s="445"/>
      <c r="BI482" s="491"/>
      <c r="BJ482" s="491">
        <v>3</v>
      </c>
      <c r="BK482" s="445" t="s">
        <v>2732</v>
      </c>
      <c r="BL482" s="445" t="s">
        <v>3203</v>
      </c>
      <c r="BM482" s="445"/>
      <c r="BN482" s="445"/>
      <c r="BO482" s="445"/>
      <c r="BP482" s="445"/>
      <c r="BQ482" s="445" t="s">
        <v>1269</v>
      </c>
      <c r="BR482" s="445"/>
      <c r="BS482" s="445"/>
      <c r="BT482" s="445"/>
      <c r="BU482" s="445"/>
      <c r="BV482" s="445"/>
      <c r="BW482" s="445" t="s">
        <v>2381</v>
      </c>
      <c r="BX482" s="445"/>
      <c r="BY482" s="445"/>
    </row>
    <row r="483" spans="1:77" ht="15">
      <c r="A483" s="370" t="s">
        <v>1269</v>
      </c>
      <c r="B483" s="415" t="s">
        <v>296</v>
      </c>
      <c r="C483" s="416" t="s">
        <v>1682</v>
      </c>
      <c r="D483" s="444">
        <v>0</v>
      </c>
      <c r="E483" s="415" t="s">
        <v>1749</v>
      </c>
      <c r="F483" s="444">
        <v>3</v>
      </c>
      <c r="G483" s="415" t="s">
        <v>1750</v>
      </c>
      <c r="H483" s="444">
        <v>148</v>
      </c>
      <c r="I483" s="417" t="s">
        <v>1768</v>
      </c>
      <c r="J483" s="444">
        <v>15.4</v>
      </c>
      <c r="K483" s="444">
        <v>445</v>
      </c>
      <c r="L483" s="444"/>
      <c r="M483" s="444">
        <v>0</v>
      </c>
      <c r="N483" s="444">
        <v>0</v>
      </c>
      <c r="O483" s="444"/>
      <c r="P483" s="444"/>
      <c r="Q483" s="444">
        <v>0</v>
      </c>
      <c r="R483" s="444"/>
      <c r="S483" s="444">
        <v>0</v>
      </c>
      <c r="T483" s="444">
        <v>0</v>
      </c>
      <c r="U483" s="444">
        <v>0</v>
      </c>
      <c r="V483" s="444">
        <v>0</v>
      </c>
      <c r="W483" s="444">
        <v>240</v>
      </c>
      <c r="X483" s="418"/>
      <c r="Y483" s="445"/>
      <c r="Z483" s="420"/>
      <c r="AA483" s="421">
        <v>81.088999999999999</v>
      </c>
      <c r="AB483" s="421"/>
      <c r="AC483" s="454">
        <v>32</v>
      </c>
      <c r="AE483" s="445" t="s">
        <v>2385</v>
      </c>
      <c r="AF483" s="454">
        <v>1</v>
      </c>
      <c r="AG483" s="441">
        <v>43101</v>
      </c>
      <c r="AJ483" s="442">
        <v>43305</v>
      </c>
      <c r="AL483" s="446" t="s">
        <v>933</v>
      </c>
      <c r="AO483" s="445"/>
      <c r="AP483" s="454">
        <v>556716</v>
      </c>
      <c r="AQ483" s="443">
        <v>43305</v>
      </c>
      <c r="AR483" s="370">
        <v>0.3</v>
      </c>
      <c r="AT483" s="447"/>
      <c r="AU483" s="447"/>
      <c r="AV483" s="447"/>
      <c r="AY483" s="427" t="s">
        <v>1722</v>
      </c>
      <c r="AZ483" s="373"/>
      <c r="BB483" s="374" t="s">
        <v>1728</v>
      </c>
      <c r="BC483" s="445"/>
      <c r="BE483" s="448"/>
      <c r="BF483" s="449"/>
      <c r="BG483" s="450"/>
      <c r="BH483" s="445"/>
      <c r="BI483" s="491"/>
      <c r="BJ483" s="491">
        <v>2</v>
      </c>
      <c r="BK483" s="445" t="s">
        <v>3204</v>
      </c>
      <c r="BL483" s="445" t="s">
        <v>3205</v>
      </c>
      <c r="BM483" s="445"/>
      <c r="BN483" s="445"/>
      <c r="BO483" s="445"/>
      <c r="BP483" s="445"/>
      <c r="BQ483" s="445" t="s">
        <v>1269</v>
      </c>
      <c r="BR483" s="445"/>
      <c r="BS483" s="445"/>
      <c r="BT483" s="445"/>
      <c r="BU483" s="445"/>
      <c r="BV483" s="445"/>
      <c r="BW483" s="445" t="s">
        <v>2381</v>
      </c>
      <c r="BX483" s="445"/>
      <c r="BY483" s="445"/>
    </row>
    <row r="484" spans="1:77" ht="15">
      <c r="A484" s="370" t="s">
        <v>1269</v>
      </c>
      <c r="B484" s="415" t="s">
        <v>296</v>
      </c>
      <c r="C484" s="416" t="s">
        <v>1682</v>
      </c>
      <c r="D484" s="444">
        <v>0</v>
      </c>
      <c r="E484" s="415" t="s">
        <v>1749</v>
      </c>
      <c r="F484" s="444">
        <v>3</v>
      </c>
      <c r="G484" s="415" t="s">
        <v>1750</v>
      </c>
      <c r="H484" s="444">
        <v>152</v>
      </c>
      <c r="I484" s="417" t="s">
        <v>1688</v>
      </c>
      <c r="J484" s="444">
        <v>2.5</v>
      </c>
      <c r="K484" s="444">
        <v>258</v>
      </c>
      <c r="L484" s="444"/>
      <c r="M484" s="444">
        <v>0</v>
      </c>
      <c r="N484" s="444">
        <v>1</v>
      </c>
      <c r="O484" s="444"/>
      <c r="P484" s="444"/>
      <c r="Q484" s="444">
        <v>0</v>
      </c>
      <c r="R484" s="444"/>
      <c r="S484" s="444">
        <v>0</v>
      </c>
      <c r="T484" s="444">
        <v>0</v>
      </c>
      <c r="U484" s="444">
        <v>0</v>
      </c>
      <c r="V484" s="444">
        <v>1</v>
      </c>
      <c r="W484" s="444">
        <v>130</v>
      </c>
      <c r="X484" s="418"/>
      <c r="Y484" s="445"/>
      <c r="Z484" s="420"/>
      <c r="AA484" s="421">
        <v>76.599000000000004</v>
      </c>
      <c r="AB484" s="421"/>
      <c r="AC484" s="454">
        <v>17</v>
      </c>
      <c r="AE484" s="445" t="s">
        <v>2386</v>
      </c>
      <c r="AF484" s="454">
        <v>1</v>
      </c>
      <c r="AG484" s="441">
        <v>43101</v>
      </c>
      <c r="AJ484" s="442">
        <v>43305</v>
      </c>
      <c r="AL484" s="446" t="s">
        <v>925</v>
      </c>
      <c r="AO484" s="445"/>
      <c r="AP484" s="454">
        <v>556716</v>
      </c>
      <c r="AQ484" s="443">
        <v>43305</v>
      </c>
      <c r="AR484" s="370">
        <v>0.3</v>
      </c>
      <c r="AT484" s="447"/>
      <c r="AU484" s="447"/>
      <c r="AV484" s="447"/>
      <c r="AY484" s="427" t="s">
        <v>1722</v>
      </c>
      <c r="AZ484" s="373"/>
      <c r="BB484" s="374" t="s">
        <v>1728</v>
      </c>
      <c r="BC484" s="445"/>
      <c r="BE484" s="448"/>
      <c r="BF484" s="449"/>
      <c r="BG484" s="450"/>
      <c r="BH484" s="445"/>
      <c r="BI484" s="491"/>
      <c r="BJ484" s="491">
        <v>6</v>
      </c>
      <c r="BK484" s="445" t="s">
        <v>3206</v>
      </c>
      <c r="BL484" s="445" t="s">
        <v>3207</v>
      </c>
      <c r="BM484" s="445"/>
      <c r="BN484" s="445"/>
      <c r="BO484" s="445"/>
      <c r="BP484" s="445"/>
      <c r="BQ484" s="445" t="s">
        <v>1269</v>
      </c>
      <c r="BR484" s="445"/>
      <c r="BS484" s="445"/>
      <c r="BT484" s="445"/>
      <c r="BU484" s="445"/>
      <c r="BV484" s="445"/>
      <c r="BW484" s="445" t="s">
        <v>2381</v>
      </c>
      <c r="BX484" s="445"/>
      <c r="BY484" s="445"/>
    </row>
    <row r="485" spans="1:77" ht="15">
      <c r="A485" s="370" t="s">
        <v>1269</v>
      </c>
      <c r="B485" s="415" t="s">
        <v>296</v>
      </c>
      <c r="C485" s="416" t="s">
        <v>1693</v>
      </c>
      <c r="D485" s="444">
        <v>0</v>
      </c>
      <c r="E485" s="415" t="s">
        <v>1749</v>
      </c>
      <c r="F485" s="444">
        <v>3</v>
      </c>
      <c r="G485" s="415" t="s">
        <v>1750</v>
      </c>
      <c r="H485" s="444">
        <v>77</v>
      </c>
      <c r="I485" s="417" t="s">
        <v>1659</v>
      </c>
      <c r="J485" s="444">
        <v>5</v>
      </c>
      <c r="K485" s="444">
        <v>314</v>
      </c>
      <c r="L485" s="444"/>
      <c r="M485" s="444">
        <v>0</v>
      </c>
      <c r="N485" s="444">
        <v>0</v>
      </c>
      <c r="O485" s="444"/>
      <c r="P485" s="444"/>
      <c r="Q485" s="444">
        <v>0</v>
      </c>
      <c r="R485" s="444"/>
      <c r="S485" s="444">
        <v>0</v>
      </c>
      <c r="T485" s="444">
        <v>0</v>
      </c>
      <c r="U485" s="444">
        <v>0</v>
      </c>
      <c r="V485" s="444">
        <v>2</v>
      </c>
      <c r="W485" s="444">
        <v>14</v>
      </c>
      <c r="X485" s="418"/>
      <c r="Y485" s="445"/>
      <c r="Z485" s="420"/>
      <c r="AA485" s="421">
        <v>252.64599999999999</v>
      </c>
      <c r="AB485" s="421"/>
      <c r="AC485" s="454">
        <v>94</v>
      </c>
      <c r="AE485" s="445" t="s">
        <v>2387</v>
      </c>
      <c r="AF485" s="454">
        <v>1</v>
      </c>
      <c r="AG485" s="441">
        <v>43101</v>
      </c>
      <c r="AJ485" s="442">
        <v>43283</v>
      </c>
      <c r="AL485" s="446" t="s">
        <v>915</v>
      </c>
      <c r="AO485" s="445"/>
      <c r="AP485" s="454">
        <v>556628</v>
      </c>
      <c r="AQ485" s="443">
        <v>43102</v>
      </c>
      <c r="AR485" s="370">
        <v>0.3</v>
      </c>
      <c r="AT485" s="447"/>
      <c r="AU485" s="447"/>
      <c r="AV485" s="447"/>
      <c r="AY485" s="427" t="s">
        <v>1722</v>
      </c>
      <c r="AZ485" s="373"/>
      <c r="BB485" s="374" t="s">
        <v>1728</v>
      </c>
      <c r="BC485" s="445"/>
      <c r="BE485" s="448"/>
      <c r="BF485" s="449"/>
      <c r="BG485" s="450"/>
      <c r="BH485" s="445"/>
      <c r="BI485" s="491"/>
      <c r="BJ485" s="491">
        <v>7</v>
      </c>
      <c r="BK485" s="445" t="s">
        <v>1880</v>
      </c>
      <c r="BL485" s="445" t="s">
        <v>3208</v>
      </c>
      <c r="BM485" s="445"/>
      <c r="BN485" s="445"/>
      <c r="BO485" s="445"/>
      <c r="BP485" s="445"/>
      <c r="BQ485" s="445" t="s">
        <v>1269</v>
      </c>
      <c r="BR485" s="445"/>
      <c r="BS485" s="445"/>
      <c r="BT485" s="445"/>
      <c r="BU485" s="445"/>
      <c r="BV485" s="445"/>
      <c r="BW485" s="445" t="s">
        <v>2381</v>
      </c>
      <c r="BX485" s="445"/>
      <c r="BY485" s="445"/>
    </row>
    <row r="486" spans="1:77" ht="15">
      <c r="A486" s="370" t="s">
        <v>1783</v>
      </c>
      <c r="B486" s="415" t="s">
        <v>296</v>
      </c>
      <c r="C486" s="416" t="s">
        <v>1693</v>
      </c>
      <c r="D486" s="444">
        <v>0</v>
      </c>
      <c r="E486" s="415" t="s">
        <v>1749</v>
      </c>
      <c r="F486" s="444">
        <v>3</v>
      </c>
      <c r="G486" s="415" t="s">
        <v>1750</v>
      </c>
      <c r="H486" s="444">
        <v>77</v>
      </c>
      <c r="I486" s="417" t="s">
        <v>1659</v>
      </c>
      <c r="J486" s="444">
        <v>5</v>
      </c>
      <c r="K486" s="444">
        <v>0</v>
      </c>
      <c r="L486" s="444"/>
      <c r="M486" s="444">
        <v>0</v>
      </c>
      <c r="N486" s="444">
        <v>0</v>
      </c>
      <c r="O486" s="444"/>
      <c r="P486" s="444"/>
      <c r="Q486" s="444">
        <v>266.67</v>
      </c>
      <c r="R486" s="444"/>
      <c r="S486" s="444">
        <v>0</v>
      </c>
      <c r="T486" s="444">
        <v>310</v>
      </c>
      <c r="U486" s="444"/>
      <c r="V486" s="444">
        <v>0</v>
      </c>
      <c r="W486" s="444">
        <v>0</v>
      </c>
      <c r="X486" s="418"/>
      <c r="Y486" s="445"/>
      <c r="Z486" s="420"/>
      <c r="AA486" s="421">
        <v>123.52</v>
      </c>
      <c r="AB486" s="421"/>
      <c r="AC486" s="454">
        <v>23</v>
      </c>
      <c r="AE486" s="445" t="s">
        <v>2388</v>
      </c>
      <c r="AF486" s="454">
        <v>1</v>
      </c>
      <c r="AG486" s="441">
        <v>43101</v>
      </c>
      <c r="AJ486" s="442">
        <v>43283</v>
      </c>
      <c r="AL486" s="446" t="s">
        <v>915</v>
      </c>
      <c r="AO486" s="445"/>
      <c r="AP486" s="454">
        <v>556628</v>
      </c>
      <c r="AQ486" s="443">
        <v>43102</v>
      </c>
      <c r="AR486" s="370">
        <v>0.5</v>
      </c>
      <c r="AT486" s="447"/>
      <c r="AU486" s="447"/>
      <c r="AV486" s="447"/>
      <c r="AY486" s="427" t="s">
        <v>1722</v>
      </c>
      <c r="AZ486" s="373"/>
      <c r="BB486" s="374" t="s">
        <v>1728</v>
      </c>
      <c r="BC486" s="445"/>
      <c r="BE486" s="448"/>
      <c r="BF486" s="449"/>
      <c r="BG486" s="450"/>
      <c r="BH486" s="445"/>
      <c r="BI486" s="491"/>
      <c r="BJ486" s="491">
        <v>8</v>
      </c>
      <c r="BK486" s="445" t="s">
        <v>1880</v>
      </c>
      <c r="BL486" s="445" t="s">
        <v>3208</v>
      </c>
      <c r="BM486" s="445"/>
      <c r="BN486" s="445"/>
      <c r="BO486" s="445"/>
      <c r="BP486" s="445"/>
      <c r="BQ486" s="445" t="s">
        <v>1783</v>
      </c>
      <c r="BR486" s="445">
        <v>5</v>
      </c>
      <c r="BS486" s="445"/>
      <c r="BT486" s="445"/>
      <c r="BU486" s="445"/>
      <c r="BV486" s="445"/>
      <c r="BW486" s="445" t="s">
        <v>2381</v>
      </c>
      <c r="BX486" s="445"/>
      <c r="BY486" s="445"/>
    </row>
    <row r="487" spans="1:77" ht="15">
      <c r="A487" s="370" t="s">
        <v>1269</v>
      </c>
      <c r="B487" s="415" t="s">
        <v>85</v>
      </c>
      <c r="C487" s="416" t="s">
        <v>2131</v>
      </c>
      <c r="D487" s="444">
        <v>0</v>
      </c>
      <c r="E487" s="415" t="s">
        <v>1749</v>
      </c>
      <c r="F487" s="444">
        <v>3</v>
      </c>
      <c r="G487" s="415" t="s">
        <v>1750</v>
      </c>
      <c r="H487" s="444">
        <v>10</v>
      </c>
      <c r="I487" s="417" t="s">
        <v>1768</v>
      </c>
      <c r="J487" s="444">
        <v>0.9</v>
      </c>
      <c r="K487" s="444">
        <v>74</v>
      </c>
      <c r="L487" s="444"/>
      <c r="M487" s="444">
        <v>66</v>
      </c>
      <c r="N487" s="444">
        <v>0</v>
      </c>
      <c r="O487" s="444"/>
      <c r="P487" s="444"/>
      <c r="Q487" s="444">
        <v>0</v>
      </c>
      <c r="R487" s="444"/>
      <c r="S487" s="444">
        <v>10</v>
      </c>
      <c r="T487" s="444">
        <v>0</v>
      </c>
      <c r="U487" s="444">
        <v>0</v>
      </c>
      <c r="V487" s="444">
        <v>0</v>
      </c>
      <c r="W487" s="444">
        <v>5</v>
      </c>
      <c r="X487" s="418"/>
      <c r="Y487" s="445"/>
      <c r="Z487" s="420"/>
      <c r="AA487" s="421">
        <v>32.909999999999997</v>
      </c>
      <c r="AB487" s="421"/>
      <c r="AC487" s="454">
        <v>9</v>
      </c>
      <c r="AE487" s="445" t="s">
        <v>2374</v>
      </c>
      <c r="AF487" s="454">
        <v>1</v>
      </c>
      <c r="AG487" s="441">
        <v>43101</v>
      </c>
      <c r="AJ487" s="442">
        <v>43283</v>
      </c>
      <c r="AL487" s="446" t="s">
        <v>910</v>
      </c>
      <c r="AO487" s="445"/>
      <c r="AP487" s="454">
        <v>556672</v>
      </c>
      <c r="AQ487" s="443">
        <v>43214</v>
      </c>
      <c r="AR487" s="370">
        <v>0.3</v>
      </c>
      <c r="AT487" s="447"/>
      <c r="AU487" s="447"/>
      <c r="AV487" s="447"/>
      <c r="AY487" s="427" t="s">
        <v>1717</v>
      </c>
      <c r="AZ487" s="373"/>
      <c r="BB487" s="374" t="s">
        <v>1727</v>
      </c>
      <c r="BC487" s="445"/>
      <c r="BE487" s="448"/>
      <c r="BF487" s="449"/>
      <c r="BG487" s="450"/>
      <c r="BH487" s="445"/>
      <c r="BI487" s="491"/>
      <c r="BJ487" s="491">
        <v>2</v>
      </c>
      <c r="BK487" s="445" t="s">
        <v>3193</v>
      </c>
      <c r="BL487" s="445" t="s">
        <v>3194</v>
      </c>
      <c r="BM487" s="445"/>
      <c r="BN487" s="445"/>
      <c r="BO487" s="445"/>
      <c r="BP487" s="445"/>
      <c r="BQ487" s="445" t="s">
        <v>1269</v>
      </c>
      <c r="BR487" s="445"/>
      <c r="BS487" s="445"/>
      <c r="BT487" s="445"/>
      <c r="BU487" s="445"/>
      <c r="BV487" s="445"/>
      <c r="BW487" s="445" t="s">
        <v>2389</v>
      </c>
      <c r="BX487" s="445"/>
      <c r="BY487" s="445"/>
    </row>
    <row r="488" spans="1:77" ht="15">
      <c r="A488" s="370" t="s">
        <v>31</v>
      </c>
      <c r="B488" s="415" t="s">
        <v>216</v>
      </c>
      <c r="C488" s="416" t="s">
        <v>31</v>
      </c>
      <c r="D488" s="444">
        <v>0</v>
      </c>
      <c r="E488" s="415" t="s">
        <v>1716</v>
      </c>
      <c r="F488" s="444">
        <v>2</v>
      </c>
      <c r="G488" s="415" t="s">
        <v>1661</v>
      </c>
      <c r="H488" s="444">
        <v>51</v>
      </c>
      <c r="I488" s="417" t="s">
        <v>1660</v>
      </c>
      <c r="J488" s="444">
        <v>2.4</v>
      </c>
      <c r="K488" s="444">
        <v>936</v>
      </c>
      <c r="L488" s="444">
        <v>0</v>
      </c>
      <c r="M488" s="444">
        <v>42</v>
      </c>
      <c r="N488" s="444">
        <v>90</v>
      </c>
      <c r="O488" s="444">
        <v>0</v>
      </c>
      <c r="P488" s="444">
        <v>0</v>
      </c>
      <c r="Q488" s="444">
        <v>0</v>
      </c>
      <c r="R488" s="444">
        <v>110</v>
      </c>
      <c r="S488" s="444">
        <v>35</v>
      </c>
      <c r="T488" s="444">
        <v>201</v>
      </c>
      <c r="U488" s="444">
        <v>36</v>
      </c>
      <c r="V488" s="444">
        <v>28</v>
      </c>
      <c r="W488" s="444">
        <v>141</v>
      </c>
      <c r="X488" s="418"/>
      <c r="Y488" s="445"/>
      <c r="Z488" s="420"/>
      <c r="AA488" s="421">
        <v>84.212999999999994</v>
      </c>
      <c r="AB488" s="421">
        <v>35.884</v>
      </c>
      <c r="AC488" s="454">
        <v>0</v>
      </c>
      <c r="AE488" s="445" t="s">
        <v>2390</v>
      </c>
      <c r="AF488" s="454">
        <v>1</v>
      </c>
      <c r="AG488" s="441">
        <v>43101</v>
      </c>
      <c r="AJ488" s="442">
        <v>43283</v>
      </c>
      <c r="AL488" s="446" t="s">
        <v>929</v>
      </c>
      <c r="AO488" s="445"/>
      <c r="AP488" s="454">
        <v>556618</v>
      </c>
      <c r="AQ488" s="443">
        <v>43077</v>
      </c>
      <c r="AT488" s="447"/>
      <c r="AU488" s="447"/>
      <c r="AV488" s="447"/>
      <c r="AY488" s="427" t="s">
        <v>1559</v>
      </c>
      <c r="AZ488" s="373"/>
      <c r="BB488" s="374" t="s">
        <v>2214</v>
      </c>
      <c r="BC488" s="445"/>
      <c r="BE488" s="448">
        <v>5</v>
      </c>
      <c r="BF488" s="449">
        <v>40</v>
      </c>
      <c r="BG488" s="450" t="s">
        <v>1764</v>
      </c>
      <c r="BH488" s="445"/>
      <c r="BI488" s="491"/>
      <c r="BJ488" s="491">
        <v>14</v>
      </c>
      <c r="BK488" s="445" t="s">
        <v>670</v>
      </c>
      <c r="BL488" s="445" t="s">
        <v>3209</v>
      </c>
      <c r="BM488" s="445"/>
      <c r="BN488" s="445" t="s">
        <v>1765</v>
      </c>
      <c r="BO488" s="445" t="s">
        <v>1765</v>
      </c>
      <c r="BP488" s="445" t="s">
        <v>1765</v>
      </c>
      <c r="BQ488" s="445" t="s">
        <v>31</v>
      </c>
      <c r="BR488" s="445"/>
      <c r="BS488" s="445"/>
      <c r="BT488" s="445"/>
      <c r="BU488" s="445"/>
      <c r="BV488" s="445"/>
      <c r="BW488" s="445" t="s">
        <v>2389</v>
      </c>
      <c r="BX488" s="445"/>
      <c r="BY488" s="445"/>
    </row>
    <row r="489" spans="1:77" ht="15">
      <c r="A489" s="370" t="s">
        <v>31</v>
      </c>
      <c r="B489" s="415" t="s">
        <v>216</v>
      </c>
      <c r="C489" s="416" t="s">
        <v>31</v>
      </c>
      <c r="D489" s="444">
        <v>0</v>
      </c>
      <c r="E489" s="415" t="s">
        <v>1716</v>
      </c>
      <c r="F489" s="444">
        <v>5</v>
      </c>
      <c r="G489" s="415" t="s">
        <v>1661</v>
      </c>
      <c r="H489" s="444">
        <v>130</v>
      </c>
      <c r="I489" s="417" t="s">
        <v>2391</v>
      </c>
      <c r="J489" s="444">
        <v>1.5</v>
      </c>
      <c r="K489" s="444">
        <v>768</v>
      </c>
      <c r="L489" s="444">
        <v>0</v>
      </c>
      <c r="M489" s="444">
        <v>0</v>
      </c>
      <c r="N489" s="444">
        <v>1</v>
      </c>
      <c r="O489" s="444">
        <v>0</v>
      </c>
      <c r="P489" s="444">
        <v>0</v>
      </c>
      <c r="Q489" s="444">
        <v>0</v>
      </c>
      <c r="R489" s="444">
        <v>0</v>
      </c>
      <c r="S489" s="444">
        <v>0</v>
      </c>
      <c r="T489" s="444">
        <v>91</v>
      </c>
      <c r="U489" s="444">
        <v>0</v>
      </c>
      <c r="V489" s="444">
        <v>0</v>
      </c>
      <c r="W489" s="444">
        <v>135</v>
      </c>
      <c r="X489" s="418"/>
      <c r="Y489" s="445"/>
      <c r="Z489" s="420"/>
      <c r="AA489" s="421">
        <v>140.56800000000001</v>
      </c>
      <c r="AB489" s="421">
        <v>42.881999999999998</v>
      </c>
      <c r="AC489" s="454">
        <v>0</v>
      </c>
      <c r="AE489" s="445" t="s">
        <v>2392</v>
      </c>
      <c r="AF489" s="454">
        <v>1</v>
      </c>
      <c r="AG489" s="441">
        <v>43101</v>
      </c>
      <c r="AJ489" s="442">
        <v>43283</v>
      </c>
      <c r="AL489" s="446" t="s">
        <v>928</v>
      </c>
      <c r="AO489" s="445"/>
      <c r="AP489" s="454">
        <v>556618</v>
      </c>
      <c r="AQ489" s="443">
        <v>43077</v>
      </c>
      <c r="AT489" s="447"/>
      <c r="AU489" s="447"/>
      <c r="AV489" s="447"/>
      <c r="AY489" s="427" t="s">
        <v>1559</v>
      </c>
      <c r="AZ489" s="373"/>
      <c r="BB489" s="374" t="s">
        <v>2214</v>
      </c>
      <c r="BC489" s="445"/>
      <c r="BE489" s="448">
        <v>0</v>
      </c>
      <c r="BF489" s="449">
        <v>40</v>
      </c>
      <c r="BG489" s="450" t="s">
        <v>1764</v>
      </c>
      <c r="BH489" s="445"/>
      <c r="BI489" s="491"/>
      <c r="BJ489" s="491">
        <v>1</v>
      </c>
      <c r="BK489" s="445" t="s">
        <v>3210</v>
      </c>
      <c r="BL489" s="445" t="s">
        <v>3211</v>
      </c>
      <c r="BM489" s="445"/>
      <c r="BN489" s="445" t="s">
        <v>1766</v>
      </c>
      <c r="BO489" s="445" t="s">
        <v>1766</v>
      </c>
      <c r="BP489" s="445" t="s">
        <v>1766</v>
      </c>
      <c r="BQ489" s="445" t="s">
        <v>31</v>
      </c>
      <c r="BR489" s="445"/>
      <c r="BS489" s="445"/>
      <c r="BT489" s="445"/>
      <c r="BU489" s="445"/>
      <c r="BV489" s="445"/>
      <c r="BW489" s="445" t="s">
        <v>2393</v>
      </c>
      <c r="BX489" s="445"/>
      <c r="BY489" s="445"/>
    </row>
    <row r="490" spans="1:77" ht="15">
      <c r="A490" s="370" t="s">
        <v>1269</v>
      </c>
      <c r="B490" s="415" t="s">
        <v>216</v>
      </c>
      <c r="C490" s="416" t="s">
        <v>1682</v>
      </c>
      <c r="D490" s="444">
        <v>0</v>
      </c>
      <c r="E490" s="415" t="s">
        <v>1749</v>
      </c>
      <c r="F490" s="444">
        <v>3</v>
      </c>
      <c r="G490" s="415" t="s">
        <v>1750</v>
      </c>
      <c r="H490" s="444">
        <v>100</v>
      </c>
      <c r="I490" s="417" t="s">
        <v>2086</v>
      </c>
      <c r="J490" s="444">
        <v>0.6</v>
      </c>
      <c r="K490" s="444">
        <v>101</v>
      </c>
      <c r="L490" s="444"/>
      <c r="M490" s="444">
        <v>0</v>
      </c>
      <c r="N490" s="444">
        <v>5</v>
      </c>
      <c r="O490" s="444"/>
      <c r="P490" s="444"/>
      <c r="Q490" s="444">
        <v>0</v>
      </c>
      <c r="R490" s="444"/>
      <c r="S490" s="444">
        <v>0</v>
      </c>
      <c r="T490" s="444">
        <v>0</v>
      </c>
      <c r="U490" s="444">
        <v>4</v>
      </c>
      <c r="V490" s="444">
        <v>0</v>
      </c>
      <c r="W490" s="444">
        <v>42</v>
      </c>
      <c r="X490" s="418"/>
      <c r="Y490" s="445"/>
      <c r="Z490" s="420"/>
      <c r="AA490" s="421">
        <v>77.444999999999993</v>
      </c>
      <c r="AB490" s="421"/>
      <c r="AC490" s="454">
        <v>3</v>
      </c>
      <c r="AE490" s="445" t="s">
        <v>2363</v>
      </c>
      <c r="AF490" s="454">
        <v>1</v>
      </c>
      <c r="AG490" s="441">
        <v>43101</v>
      </c>
      <c r="AJ490" s="442">
        <v>43297</v>
      </c>
      <c r="AL490" s="446" t="s">
        <v>1019</v>
      </c>
      <c r="AO490" s="445"/>
      <c r="AP490" s="454">
        <v>556715</v>
      </c>
      <c r="AQ490" s="443">
        <v>43297</v>
      </c>
      <c r="AR490" s="370">
        <v>0.3</v>
      </c>
      <c r="AT490" s="447"/>
      <c r="AU490" s="447"/>
      <c r="AV490" s="447"/>
      <c r="AY490" s="427" t="s">
        <v>1559</v>
      </c>
      <c r="AZ490" s="373"/>
      <c r="BB490" s="374" t="s">
        <v>2214</v>
      </c>
      <c r="BC490" s="445"/>
      <c r="BE490" s="448"/>
      <c r="BF490" s="449"/>
      <c r="BG490" s="450"/>
      <c r="BH490" s="445"/>
      <c r="BI490" s="491"/>
      <c r="BJ490" s="491">
        <v>5</v>
      </c>
      <c r="BK490" s="445" t="s">
        <v>3212</v>
      </c>
      <c r="BL490" s="445" t="s">
        <v>3213</v>
      </c>
      <c r="BM490" s="445"/>
      <c r="BN490" s="445"/>
      <c r="BO490" s="445"/>
      <c r="BP490" s="445"/>
      <c r="BQ490" s="445" t="s">
        <v>1269</v>
      </c>
      <c r="BR490" s="445">
        <v>2</v>
      </c>
      <c r="BS490" s="445"/>
      <c r="BT490" s="445"/>
      <c r="BU490" s="445"/>
      <c r="BV490" s="445"/>
      <c r="BW490" s="445" t="s">
        <v>2393</v>
      </c>
      <c r="BX490" s="445"/>
      <c r="BY490" s="445"/>
    </row>
    <row r="491" spans="1:77" ht="15">
      <c r="A491" s="370" t="s">
        <v>1783</v>
      </c>
      <c r="B491" s="415" t="s">
        <v>85</v>
      </c>
      <c r="C491" s="416" t="s">
        <v>2081</v>
      </c>
      <c r="D491" s="444">
        <v>0</v>
      </c>
      <c r="E491" s="415" t="s">
        <v>1749</v>
      </c>
      <c r="F491" s="444">
        <v>3</v>
      </c>
      <c r="G491" s="415" t="s">
        <v>1750</v>
      </c>
      <c r="H491" s="444">
        <v>93</v>
      </c>
      <c r="I491" s="417" t="s">
        <v>2084</v>
      </c>
      <c r="J491" s="444">
        <v>0.7</v>
      </c>
      <c r="K491" s="444">
        <v>0</v>
      </c>
      <c r="L491" s="444"/>
      <c r="M491" s="444">
        <v>0</v>
      </c>
      <c r="N491" s="444">
        <v>120</v>
      </c>
      <c r="O491" s="444"/>
      <c r="P491" s="444"/>
      <c r="Q491" s="444">
        <v>0</v>
      </c>
      <c r="R491" s="444"/>
      <c r="S491" s="444">
        <v>0</v>
      </c>
      <c r="T491" s="444">
        <v>0</v>
      </c>
      <c r="U491" s="444"/>
      <c r="V491" s="444">
        <v>0</v>
      </c>
      <c r="W491" s="444">
        <v>0</v>
      </c>
      <c r="X491" s="418"/>
      <c r="Y491" s="445"/>
      <c r="Z491" s="420"/>
      <c r="AA491" s="421">
        <v>185.65</v>
      </c>
      <c r="AB491" s="421"/>
      <c r="AC491" s="454">
        <v>23</v>
      </c>
      <c r="AE491" s="445" t="s">
        <v>2085</v>
      </c>
      <c r="AF491" s="454">
        <v>1</v>
      </c>
      <c r="AG491" s="441">
        <v>43101</v>
      </c>
      <c r="AJ491" s="442">
        <v>43192</v>
      </c>
      <c r="AL491" s="446" t="s">
        <v>1008</v>
      </c>
      <c r="AO491" s="445"/>
      <c r="AP491" s="454">
        <v>556667</v>
      </c>
      <c r="AQ491" s="443">
        <v>43192</v>
      </c>
      <c r="AR491" s="370">
        <v>0.3</v>
      </c>
      <c r="AT491" s="447"/>
      <c r="AU491" s="447"/>
      <c r="AV491" s="447"/>
      <c r="AY491" s="427" t="s">
        <v>1717</v>
      </c>
      <c r="AZ491" s="373"/>
      <c r="BB491" s="374" t="s">
        <v>1727</v>
      </c>
      <c r="BC491" s="445"/>
      <c r="BE491" s="448"/>
      <c r="BF491" s="449"/>
      <c r="BG491" s="450"/>
      <c r="BH491" s="445"/>
      <c r="BI491" s="491"/>
      <c r="BJ491" s="491">
        <v>3</v>
      </c>
      <c r="BK491" s="445" t="s">
        <v>2891</v>
      </c>
      <c r="BL491" s="445" t="s">
        <v>2892</v>
      </c>
      <c r="BM491" s="445"/>
      <c r="BN491" s="445"/>
      <c r="BO491" s="445"/>
      <c r="BP491" s="445"/>
      <c r="BQ491" s="445" t="s">
        <v>1783</v>
      </c>
      <c r="BR491" s="445">
        <v>2</v>
      </c>
      <c r="BS491" s="445"/>
      <c r="BT491" s="445"/>
      <c r="BU491" s="445"/>
      <c r="BV491" s="445"/>
      <c r="BW491" s="445" t="s">
        <v>2393</v>
      </c>
      <c r="BX491" s="445"/>
      <c r="BY491" s="445"/>
    </row>
    <row r="492" spans="1:77" ht="15">
      <c r="A492" s="370" t="s">
        <v>1269</v>
      </c>
      <c r="B492" s="415" t="s">
        <v>132</v>
      </c>
      <c r="C492" s="416" t="s">
        <v>1784</v>
      </c>
      <c r="D492" s="444">
        <v>0</v>
      </c>
      <c r="E492" s="415" t="s">
        <v>1749</v>
      </c>
      <c r="F492" s="444">
        <v>3</v>
      </c>
      <c r="G492" s="415" t="s">
        <v>1750</v>
      </c>
      <c r="H492" s="444">
        <v>35</v>
      </c>
      <c r="I492" s="417" t="s">
        <v>1659</v>
      </c>
      <c r="J492" s="444">
        <v>2.1</v>
      </c>
      <c r="K492" s="444">
        <v>219</v>
      </c>
      <c r="L492" s="444"/>
      <c r="M492" s="444">
        <v>0</v>
      </c>
      <c r="N492" s="444">
        <v>0</v>
      </c>
      <c r="O492" s="444"/>
      <c r="P492" s="444"/>
      <c r="Q492" s="444">
        <v>0</v>
      </c>
      <c r="R492" s="444"/>
      <c r="S492" s="444">
        <v>0</v>
      </c>
      <c r="T492" s="444">
        <v>0</v>
      </c>
      <c r="U492" s="444"/>
      <c r="V492" s="444">
        <v>0</v>
      </c>
      <c r="W492" s="444">
        <v>13</v>
      </c>
      <c r="X492" s="418"/>
      <c r="Y492" s="445"/>
      <c r="Z492" s="420"/>
      <c r="AA492" s="421">
        <v>221.85300000000001</v>
      </c>
      <c r="AB492" s="421"/>
      <c r="AC492" s="454">
        <v>33</v>
      </c>
      <c r="AE492" s="445" t="s">
        <v>2394</v>
      </c>
      <c r="AF492" s="454">
        <v>1</v>
      </c>
      <c r="AG492" s="441">
        <v>43101</v>
      </c>
      <c r="AJ492" s="442">
        <v>43313</v>
      </c>
      <c r="AL492" s="446" t="s">
        <v>924</v>
      </c>
      <c r="AO492" s="445"/>
      <c r="AP492" s="454">
        <v>556633</v>
      </c>
      <c r="AQ492" s="443">
        <v>43102</v>
      </c>
      <c r="AR492" s="370">
        <v>0.3</v>
      </c>
      <c r="AT492" s="447"/>
      <c r="AU492" s="447"/>
      <c r="AV492" s="447"/>
      <c r="AY492" s="427" t="s">
        <v>1559</v>
      </c>
      <c r="AZ492" s="373"/>
      <c r="BB492" s="374" t="s">
        <v>2214</v>
      </c>
      <c r="BC492" s="445"/>
      <c r="BE492" s="448"/>
      <c r="BF492" s="449"/>
      <c r="BG492" s="450"/>
      <c r="BH492" s="445"/>
      <c r="BI492" s="491"/>
      <c r="BJ492" s="491">
        <v>2</v>
      </c>
      <c r="BK492" s="445" t="s">
        <v>2926</v>
      </c>
      <c r="BL492" s="445" t="s">
        <v>2927</v>
      </c>
      <c r="BM492" s="445"/>
      <c r="BN492" s="445"/>
      <c r="BO492" s="445"/>
      <c r="BP492" s="445"/>
      <c r="BQ492" s="445" t="s">
        <v>1269</v>
      </c>
      <c r="BR492" s="445">
        <v>2</v>
      </c>
      <c r="BS492" s="445"/>
      <c r="BT492" s="445"/>
      <c r="BU492" s="445"/>
      <c r="BV492" s="445"/>
      <c r="BW492" s="445" t="s">
        <v>2393</v>
      </c>
      <c r="BX492" s="445"/>
      <c r="BY492" s="445"/>
    </row>
    <row r="493" spans="1:77" ht="15">
      <c r="A493" s="370" t="s">
        <v>1269</v>
      </c>
      <c r="B493" s="415" t="s">
        <v>132</v>
      </c>
      <c r="C493" s="416" t="s">
        <v>1784</v>
      </c>
      <c r="D493" s="444">
        <v>0</v>
      </c>
      <c r="E493" s="415" t="s">
        <v>1749</v>
      </c>
      <c r="F493" s="444">
        <v>3</v>
      </c>
      <c r="G493" s="415" t="s">
        <v>1750</v>
      </c>
      <c r="H493" s="444">
        <v>39</v>
      </c>
      <c r="I493" s="417" t="s">
        <v>1688</v>
      </c>
      <c r="J493" s="444">
        <v>5.6</v>
      </c>
      <c r="K493" s="444">
        <v>261</v>
      </c>
      <c r="L493" s="444"/>
      <c r="M493" s="444">
        <v>0</v>
      </c>
      <c r="N493" s="444">
        <v>0</v>
      </c>
      <c r="O493" s="444"/>
      <c r="P493" s="444"/>
      <c r="Q493" s="444">
        <v>0</v>
      </c>
      <c r="R493" s="444"/>
      <c r="S493" s="444">
        <v>0</v>
      </c>
      <c r="T493" s="444">
        <v>0</v>
      </c>
      <c r="U493" s="444"/>
      <c r="V493" s="444">
        <v>0</v>
      </c>
      <c r="W493" s="444">
        <v>13</v>
      </c>
      <c r="X493" s="418"/>
      <c r="Y493" s="445"/>
      <c r="Z493" s="420"/>
      <c r="AA493" s="421">
        <v>257.69900000000001</v>
      </c>
      <c r="AB493" s="421"/>
      <c r="AC493" s="454">
        <v>109</v>
      </c>
      <c r="AE493" s="445" t="s">
        <v>2395</v>
      </c>
      <c r="AF493" s="454">
        <v>1</v>
      </c>
      <c r="AG493" s="441">
        <v>43101</v>
      </c>
      <c r="AJ493" s="442">
        <v>43313</v>
      </c>
      <c r="AL493" s="446" t="s">
        <v>924</v>
      </c>
      <c r="AO493" s="445"/>
      <c r="AP493" s="454">
        <v>556633</v>
      </c>
      <c r="AQ493" s="443">
        <v>43102</v>
      </c>
      <c r="AR493" s="370">
        <v>0.3</v>
      </c>
      <c r="AT493" s="447"/>
      <c r="AU493" s="447"/>
      <c r="AV493" s="447"/>
      <c r="AY493" s="427" t="s">
        <v>1559</v>
      </c>
      <c r="AZ493" s="373"/>
      <c r="BB493" s="374" t="s">
        <v>2214</v>
      </c>
      <c r="BC493" s="445"/>
      <c r="BE493" s="448"/>
      <c r="BF493" s="449"/>
      <c r="BG493" s="450"/>
      <c r="BH493" s="445"/>
      <c r="BI493" s="491"/>
      <c r="BJ493" s="491">
        <v>3</v>
      </c>
      <c r="BK493" s="445" t="s">
        <v>2934</v>
      </c>
      <c r="BL493" s="445" t="s">
        <v>2935</v>
      </c>
      <c r="BM493" s="445"/>
      <c r="BN493" s="445"/>
      <c r="BO493" s="445"/>
      <c r="BP493" s="445"/>
      <c r="BQ493" s="445" t="s">
        <v>1269</v>
      </c>
      <c r="BR493" s="445">
        <v>2</v>
      </c>
      <c r="BS493" s="445"/>
      <c r="BT493" s="445"/>
      <c r="BU493" s="445"/>
      <c r="BV493" s="445"/>
      <c r="BW493" s="445" t="s">
        <v>2393</v>
      </c>
      <c r="BX493" s="445"/>
      <c r="BY493" s="445"/>
    </row>
    <row r="494" spans="1:77" ht="15">
      <c r="A494" s="370" t="s">
        <v>1269</v>
      </c>
      <c r="B494" s="415" t="s">
        <v>132</v>
      </c>
      <c r="C494" s="416" t="s">
        <v>1784</v>
      </c>
      <c r="D494" s="444">
        <v>0</v>
      </c>
      <c r="E494" s="415" t="s">
        <v>1749</v>
      </c>
      <c r="F494" s="444">
        <v>3</v>
      </c>
      <c r="G494" s="415" t="s">
        <v>1750</v>
      </c>
      <c r="H494" s="444">
        <v>39</v>
      </c>
      <c r="I494" s="417" t="s">
        <v>1688</v>
      </c>
      <c r="J494" s="444">
        <v>5.6</v>
      </c>
      <c r="K494" s="444">
        <v>261</v>
      </c>
      <c r="L494" s="444"/>
      <c r="M494" s="444">
        <v>0</v>
      </c>
      <c r="N494" s="444">
        <v>0</v>
      </c>
      <c r="O494" s="444"/>
      <c r="P494" s="444"/>
      <c r="Q494" s="444">
        <v>0</v>
      </c>
      <c r="R494" s="444"/>
      <c r="S494" s="444">
        <v>0</v>
      </c>
      <c r="T494" s="444">
        <v>0</v>
      </c>
      <c r="U494" s="444"/>
      <c r="V494" s="444">
        <v>0</v>
      </c>
      <c r="W494" s="444">
        <v>13</v>
      </c>
      <c r="X494" s="418"/>
      <c r="Y494" s="445"/>
      <c r="Z494" s="420"/>
      <c r="AA494" s="421">
        <v>257.69900000000001</v>
      </c>
      <c r="AB494" s="421"/>
      <c r="AC494" s="454">
        <v>109</v>
      </c>
      <c r="AE494" s="445" t="s">
        <v>2395</v>
      </c>
      <c r="AF494" s="454">
        <v>1</v>
      </c>
      <c r="AG494" s="441">
        <v>43101</v>
      </c>
      <c r="AJ494" s="442">
        <v>43313</v>
      </c>
      <c r="AL494" s="446" t="s">
        <v>924</v>
      </c>
      <c r="AO494" s="445"/>
      <c r="AP494" s="454">
        <v>556633</v>
      </c>
      <c r="AQ494" s="443">
        <v>43102</v>
      </c>
      <c r="AR494" s="370">
        <v>0.3</v>
      </c>
      <c r="AT494" s="447"/>
      <c r="AU494" s="447"/>
      <c r="AV494" s="447"/>
      <c r="AY494" s="427" t="s">
        <v>1559</v>
      </c>
      <c r="AZ494" s="373"/>
      <c r="BB494" s="374" t="s">
        <v>2214</v>
      </c>
      <c r="BC494" s="445"/>
      <c r="BE494" s="448"/>
      <c r="BF494" s="449"/>
      <c r="BG494" s="450"/>
      <c r="BH494" s="445"/>
      <c r="BI494" s="491"/>
      <c r="BJ494" s="491">
        <v>3</v>
      </c>
      <c r="BK494" s="445" t="s">
        <v>2934</v>
      </c>
      <c r="BL494" s="445" t="s">
        <v>2935</v>
      </c>
      <c r="BM494" s="445"/>
      <c r="BN494" s="445"/>
      <c r="BO494" s="445"/>
      <c r="BP494" s="445"/>
      <c r="BQ494" s="445" t="s">
        <v>1269</v>
      </c>
      <c r="BR494" s="445">
        <v>2</v>
      </c>
      <c r="BS494" s="445"/>
      <c r="BT494" s="445"/>
      <c r="BU494" s="445"/>
      <c r="BV494" s="445"/>
      <c r="BW494" s="445" t="s">
        <v>2396</v>
      </c>
      <c r="BX494" s="445"/>
      <c r="BY494" s="445"/>
    </row>
    <row r="495" spans="1:77" ht="15">
      <c r="A495" s="370" t="s">
        <v>1269</v>
      </c>
      <c r="B495" s="415" t="s">
        <v>132</v>
      </c>
      <c r="C495" s="416" t="s">
        <v>1784</v>
      </c>
      <c r="D495" s="444">
        <v>0</v>
      </c>
      <c r="E495" s="415" t="s">
        <v>1749</v>
      </c>
      <c r="F495" s="444">
        <v>3</v>
      </c>
      <c r="G495" s="415" t="s">
        <v>1750</v>
      </c>
      <c r="H495" s="444">
        <v>39</v>
      </c>
      <c r="I495" s="417" t="s">
        <v>1688</v>
      </c>
      <c r="J495" s="444">
        <v>5.6</v>
      </c>
      <c r="K495" s="444">
        <v>261</v>
      </c>
      <c r="L495" s="444"/>
      <c r="M495" s="444">
        <v>0</v>
      </c>
      <c r="N495" s="444">
        <v>0</v>
      </c>
      <c r="O495" s="444"/>
      <c r="P495" s="444"/>
      <c r="Q495" s="444">
        <v>0</v>
      </c>
      <c r="R495" s="444"/>
      <c r="S495" s="444">
        <v>0</v>
      </c>
      <c r="T495" s="444">
        <v>0</v>
      </c>
      <c r="U495" s="444"/>
      <c r="V495" s="444">
        <v>0</v>
      </c>
      <c r="W495" s="444">
        <v>13</v>
      </c>
      <c r="X495" s="418"/>
      <c r="Y495" s="445"/>
      <c r="Z495" s="420"/>
      <c r="AA495" s="421">
        <v>257.69900000000001</v>
      </c>
      <c r="AB495" s="421"/>
      <c r="AC495" s="454">
        <v>109</v>
      </c>
      <c r="AE495" s="445" t="s">
        <v>2395</v>
      </c>
      <c r="AF495" s="454">
        <v>1</v>
      </c>
      <c r="AG495" s="441">
        <v>43101</v>
      </c>
      <c r="AJ495" s="442">
        <v>43313</v>
      </c>
      <c r="AL495" s="446" t="s">
        <v>924</v>
      </c>
      <c r="AO495" s="445"/>
      <c r="AP495" s="454">
        <v>556633</v>
      </c>
      <c r="AQ495" s="443">
        <v>43102</v>
      </c>
      <c r="AR495" s="370">
        <v>0.3</v>
      </c>
      <c r="AT495" s="447"/>
      <c r="AU495" s="447"/>
      <c r="AV495" s="447"/>
      <c r="AY495" s="427" t="s">
        <v>1559</v>
      </c>
      <c r="AZ495" s="373"/>
      <c r="BB495" s="374" t="s">
        <v>2214</v>
      </c>
      <c r="BC495" s="445"/>
      <c r="BE495" s="448"/>
      <c r="BF495" s="449"/>
      <c r="BG495" s="450"/>
      <c r="BH495" s="445"/>
      <c r="BI495" s="491"/>
      <c r="BJ495" s="491">
        <v>3</v>
      </c>
      <c r="BK495" s="445" t="s">
        <v>2934</v>
      </c>
      <c r="BL495" s="445" t="s">
        <v>2935</v>
      </c>
      <c r="BM495" s="445"/>
      <c r="BN495" s="445"/>
      <c r="BO495" s="445"/>
      <c r="BP495" s="445"/>
      <c r="BQ495" s="445" t="s">
        <v>1269</v>
      </c>
      <c r="BR495" s="445">
        <v>2</v>
      </c>
      <c r="BS495" s="445"/>
      <c r="BT495" s="445"/>
      <c r="BU495" s="445"/>
      <c r="BV495" s="445"/>
      <c r="BW495" s="445" t="s">
        <v>2396</v>
      </c>
      <c r="BX495" s="445"/>
      <c r="BY495" s="445"/>
    </row>
    <row r="496" spans="1:77" ht="15">
      <c r="A496" s="370" t="s">
        <v>31</v>
      </c>
      <c r="B496" s="415" t="s">
        <v>132</v>
      </c>
      <c r="C496" s="416" t="s">
        <v>31</v>
      </c>
      <c r="D496" s="444">
        <v>0</v>
      </c>
      <c r="E496" s="415" t="s">
        <v>1749</v>
      </c>
      <c r="F496" s="444">
        <v>3</v>
      </c>
      <c r="G496" s="415" t="s">
        <v>1750</v>
      </c>
      <c r="H496" s="444">
        <v>2</v>
      </c>
      <c r="I496" s="417" t="s">
        <v>1685</v>
      </c>
      <c r="J496" s="444">
        <v>1.6</v>
      </c>
      <c r="K496" s="444">
        <v>1396</v>
      </c>
      <c r="L496" s="444">
        <v>0</v>
      </c>
      <c r="M496" s="444">
        <v>0</v>
      </c>
      <c r="N496" s="444">
        <v>324</v>
      </c>
      <c r="O496" s="444">
        <v>0</v>
      </c>
      <c r="P496" s="444">
        <v>0</v>
      </c>
      <c r="Q496" s="444">
        <v>20</v>
      </c>
      <c r="R496" s="444">
        <v>19</v>
      </c>
      <c r="S496" s="444">
        <v>2</v>
      </c>
      <c r="T496" s="444">
        <v>232</v>
      </c>
      <c r="U496" s="444">
        <v>6</v>
      </c>
      <c r="V496" s="444">
        <v>1</v>
      </c>
      <c r="W496" s="444">
        <v>159</v>
      </c>
      <c r="X496" s="418"/>
      <c r="Y496" s="445"/>
      <c r="Z496" s="420"/>
      <c r="AA496" s="421">
        <v>81.58</v>
      </c>
      <c r="AB496" s="421">
        <v>41.396000000000001</v>
      </c>
      <c r="AC496" s="454">
        <v>57</v>
      </c>
      <c r="AE496" s="445" t="s">
        <v>2397</v>
      </c>
      <c r="AF496" s="454">
        <v>1</v>
      </c>
      <c r="AG496" s="441">
        <v>43101</v>
      </c>
      <c r="AJ496" s="442">
        <v>43319</v>
      </c>
      <c r="AL496" s="446" t="s">
        <v>888</v>
      </c>
      <c r="AO496" s="445"/>
      <c r="AP496" s="454">
        <v>556617</v>
      </c>
      <c r="AQ496" s="443">
        <v>43077</v>
      </c>
      <c r="AR496" s="370">
        <v>0.3</v>
      </c>
      <c r="AT496" s="447"/>
      <c r="AU496" s="447"/>
      <c r="AV496" s="447"/>
      <c r="AY496" s="427" t="s">
        <v>1559</v>
      </c>
      <c r="AZ496" s="373"/>
      <c r="BB496" s="374" t="s">
        <v>2214</v>
      </c>
      <c r="BC496" s="445"/>
      <c r="BE496" s="448">
        <v>5</v>
      </c>
      <c r="BF496" s="449">
        <v>40</v>
      </c>
      <c r="BG496" s="450"/>
      <c r="BH496" s="445"/>
      <c r="BI496" s="491"/>
      <c r="BJ496" s="491">
        <v>1</v>
      </c>
      <c r="BK496" s="445" t="s">
        <v>3214</v>
      </c>
      <c r="BL496" s="445" t="s">
        <v>3215</v>
      </c>
      <c r="BM496" s="445"/>
      <c r="BN496" s="445" t="s">
        <v>1765</v>
      </c>
      <c r="BO496" s="445" t="s">
        <v>1765</v>
      </c>
      <c r="BP496" s="445" t="s">
        <v>1765</v>
      </c>
      <c r="BQ496" s="445" t="s">
        <v>31</v>
      </c>
      <c r="BR496" s="445">
        <v>2</v>
      </c>
      <c r="BS496" s="445"/>
      <c r="BT496" s="445"/>
      <c r="BU496" s="445"/>
      <c r="BV496" s="445"/>
      <c r="BW496" s="445" t="s">
        <v>2396</v>
      </c>
      <c r="BX496" s="445"/>
      <c r="BY496" s="445"/>
    </row>
    <row r="497" spans="1:77" ht="15">
      <c r="A497" s="370" t="s">
        <v>31</v>
      </c>
      <c r="B497" s="415" t="s">
        <v>132</v>
      </c>
      <c r="C497" s="416" t="s">
        <v>31</v>
      </c>
      <c r="D497" s="444">
        <v>0</v>
      </c>
      <c r="E497" s="415" t="s">
        <v>1749</v>
      </c>
      <c r="F497" s="444">
        <v>3</v>
      </c>
      <c r="G497" s="415" t="s">
        <v>1750</v>
      </c>
      <c r="H497" s="444">
        <v>2</v>
      </c>
      <c r="I497" s="417" t="s">
        <v>1685</v>
      </c>
      <c r="J497" s="444">
        <v>1.6</v>
      </c>
      <c r="K497" s="444">
        <v>1396</v>
      </c>
      <c r="L497" s="444">
        <v>0</v>
      </c>
      <c r="M497" s="444">
        <v>0</v>
      </c>
      <c r="N497" s="444">
        <v>324</v>
      </c>
      <c r="O497" s="444">
        <v>0</v>
      </c>
      <c r="P497" s="444">
        <v>0</v>
      </c>
      <c r="Q497" s="444">
        <v>20</v>
      </c>
      <c r="R497" s="444">
        <v>19</v>
      </c>
      <c r="S497" s="444">
        <v>2</v>
      </c>
      <c r="T497" s="444">
        <v>232</v>
      </c>
      <c r="U497" s="444">
        <v>6</v>
      </c>
      <c r="V497" s="444">
        <v>1</v>
      </c>
      <c r="W497" s="444">
        <v>159</v>
      </c>
      <c r="X497" s="418"/>
      <c r="Y497" s="445"/>
      <c r="Z497" s="420"/>
      <c r="AA497" s="421">
        <v>81.58</v>
      </c>
      <c r="AB497" s="421">
        <v>41.396000000000001</v>
      </c>
      <c r="AC497" s="454">
        <v>57</v>
      </c>
      <c r="AE497" s="445" t="s">
        <v>2397</v>
      </c>
      <c r="AF497" s="454">
        <v>1</v>
      </c>
      <c r="AG497" s="441">
        <v>43101</v>
      </c>
      <c r="AJ497" s="442">
        <v>43319</v>
      </c>
      <c r="AL497" s="446" t="s">
        <v>888</v>
      </c>
      <c r="AO497" s="445"/>
      <c r="AP497" s="454">
        <v>556617</v>
      </c>
      <c r="AQ497" s="443">
        <v>43077</v>
      </c>
      <c r="AR497" s="370">
        <v>0.3</v>
      </c>
      <c r="AT497" s="447"/>
      <c r="AU497" s="447"/>
      <c r="AV497" s="447"/>
      <c r="AY497" s="427" t="s">
        <v>1559</v>
      </c>
      <c r="AZ497" s="373"/>
      <c r="BB497" s="374" t="s">
        <v>2214</v>
      </c>
      <c r="BC497" s="445"/>
      <c r="BE497" s="448">
        <v>5</v>
      </c>
      <c r="BF497" s="449">
        <v>40</v>
      </c>
      <c r="BG497" s="450"/>
      <c r="BH497" s="445"/>
      <c r="BI497" s="491"/>
      <c r="BJ497" s="491">
        <v>1</v>
      </c>
      <c r="BK497" s="445" t="s">
        <v>3214</v>
      </c>
      <c r="BL497" s="445" t="s">
        <v>3215</v>
      </c>
      <c r="BM497" s="445"/>
      <c r="BN497" s="445" t="s">
        <v>1765</v>
      </c>
      <c r="BO497" s="445" t="s">
        <v>1765</v>
      </c>
      <c r="BP497" s="445" t="s">
        <v>1765</v>
      </c>
      <c r="BQ497" s="445" t="s">
        <v>31</v>
      </c>
      <c r="BR497" s="445">
        <v>2</v>
      </c>
      <c r="BS497" s="445"/>
      <c r="BT497" s="445"/>
      <c r="BU497" s="445"/>
      <c r="BV497" s="445"/>
      <c r="BW497" s="445" t="s">
        <v>2396</v>
      </c>
      <c r="BX497" s="445"/>
      <c r="BY497" s="445"/>
    </row>
    <row r="498" spans="1:77" ht="15">
      <c r="A498" s="370" t="s">
        <v>1783</v>
      </c>
      <c r="B498" s="415" t="s">
        <v>132</v>
      </c>
      <c r="C498" s="416" t="s">
        <v>2081</v>
      </c>
      <c r="D498" s="444">
        <v>0</v>
      </c>
      <c r="E498" s="415" t="s">
        <v>1749</v>
      </c>
      <c r="F498" s="444">
        <v>3</v>
      </c>
      <c r="G498" s="415" t="s">
        <v>1750</v>
      </c>
      <c r="H498" s="444">
        <v>57</v>
      </c>
      <c r="I498" s="417" t="s">
        <v>1683</v>
      </c>
      <c r="J498" s="444">
        <v>3.5</v>
      </c>
      <c r="K498" s="444">
        <v>0</v>
      </c>
      <c r="L498" s="444"/>
      <c r="M498" s="444">
        <v>0</v>
      </c>
      <c r="N498" s="444">
        <v>0</v>
      </c>
      <c r="O498" s="444"/>
      <c r="P498" s="444"/>
      <c r="Q498" s="444">
        <v>383.33</v>
      </c>
      <c r="R498" s="444"/>
      <c r="S498" s="444">
        <v>0</v>
      </c>
      <c r="T498" s="444">
        <v>0</v>
      </c>
      <c r="U498" s="444"/>
      <c r="V498" s="444">
        <v>0</v>
      </c>
      <c r="W498" s="444">
        <v>0</v>
      </c>
      <c r="X498" s="418"/>
      <c r="Y498" s="445"/>
      <c r="Z498" s="420"/>
      <c r="AA498" s="421">
        <v>198.52</v>
      </c>
      <c r="AB498" s="421"/>
      <c r="AC498" s="454">
        <v>23</v>
      </c>
      <c r="AE498" s="445" t="s">
        <v>2398</v>
      </c>
      <c r="AF498" s="454">
        <v>1</v>
      </c>
      <c r="AG498" s="441">
        <v>43101</v>
      </c>
      <c r="AJ498" s="442">
        <v>43313</v>
      </c>
      <c r="AL498" s="446" t="s">
        <v>1012</v>
      </c>
      <c r="AO498" s="445"/>
      <c r="AP498" s="454">
        <v>556666</v>
      </c>
      <c r="AQ498" s="443">
        <v>43192</v>
      </c>
      <c r="AR498" s="370">
        <v>0.5</v>
      </c>
      <c r="AT498" s="447"/>
      <c r="AU498" s="447"/>
      <c r="AV498" s="447"/>
      <c r="AY498" s="427" t="s">
        <v>1559</v>
      </c>
      <c r="AZ498" s="373"/>
      <c r="BB498" s="374" t="s">
        <v>2214</v>
      </c>
      <c r="BC498" s="445"/>
      <c r="BE498" s="448"/>
      <c r="BF498" s="449"/>
      <c r="BG498" s="450"/>
      <c r="BH498" s="445"/>
      <c r="BI498" s="491"/>
      <c r="BJ498" s="491">
        <v>5</v>
      </c>
      <c r="BK498" s="445" t="s">
        <v>3216</v>
      </c>
      <c r="BL498" s="445" t="s">
        <v>3217</v>
      </c>
      <c r="BM498" s="445"/>
      <c r="BN498" s="445"/>
      <c r="BO498" s="445"/>
      <c r="BP498" s="445"/>
      <c r="BQ498" s="445" t="s">
        <v>1783</v>
      </c>
      <c r="BR498" s="445">
        <v>5</v>
      </c>
      <c r="BS498" s="445"/>
      <c r="BT498" s="445"/>
      <c r="BU498" s="445"/>
      <c r="BV498" s="445"/>
      <c r="BW498" s="445" t="s">
        <v>2396</v>
      </c>
      <c r="BX498" s="445"/>
      <c r="BY498" s="445"/>
    </row>
    <row r="499" spans="1:77" ht="15">
      <c r="A499" s="370" t="s">
        <v>1783</v>
      </c>
      <c r="B499" s="415" t="s">
        <v>132</v>
      </c>
      <c r="C499" s="416" t="s">
        <v>2081</v>
      </c>
      <c r="D499" s="444">
        <v>0</v>
      </c>
      <c r="E499" s="415" t="s">
        <v>1749</v>
      </c>
      <c r="F499" s="444">
        <v>3</v>
      </c>
      <c r="G499" s="415" t="s">
        <v>1750</v>
      </c>
      <c r="H499" s="444">
        <v>6</v>
      </c>
      <c r="I499" s="417" t="s">
        <v>1687</v>
      </c>
      <c r="J499" s="444">
        <v>5.8</v>
      </c>
      <c r="K499" s="444">
        <v>0</v>
      </c>
      <c r="L499" s="444"/>
      <c r="M499" s="444">
        <v>0</v>
      </c>
      <c r="N499" s="444">
        <v>0</v>
      </c>
      <c r="O499" s="444"/>
      <c r="P499" s="444"/>
      <c r="Q499" s="444">
        <v>466.67</v>
      </c>
      <c r="R499" s="444"/>
      <c r="S499" s="444">
        <v>0</v>
      </c>
      <c r="T499" s="444">
        <v>0</v>
      </c>
      <c r="U499" s="444"/>
      <c r="V499" s="444">
        <v>0</v>
      </c>
      <c r="W499" s="444">
        <v>0</v>
      </c>
      <c r="X499" s="418"/>
      <c r="Y499" s="445"/>
      <c r="Z499" s="420"/>
      <c r="AA499" s="421">
        <v>198.52</v>
      </c>
      <c r="AB499" s="421"/>
      <c r="AC499" s="454">
        <v>23</v>
      </c>
      <c r="AE499" s="445" t="s">
        <v>2399</v>
      </c>
      <c r="AF499" s="454">
        <v>1</v>
      </c>
      <c r="AG499" s="441">
        <v>43101</v>
      </c>
      <c r="AJ499" s="442">
        <v>43313</v>
      </c>
      <c r="AL499" s="446" t="s">
        <v>926</v>
      </c>
      <c r="AO499" s="445"/>
      <c r="AP499" s="454">
        <v>556666</v>
      </c>
      <c r="AQ499" s="443">
        <v>43192</v>
      </c>
      <c r="AR499" s="370">
        <v>0.5</v>
      </c>
      <c r="AT499" s="447"/>
      <c r="AU499" s="447"/>
      <c r="AV499" s="447"/>
      <c r="AY499" s="427" t="s">
        <v>1559</v>
      </c>
      <c r="AZ499" s="373"/>
      <c r="BB499" s="374" t="s">
        <v>2214</v>
      </c>
      <c r="BC499" s="445"/>
      <c r="BE499" s="448"/>
      <c r="BF499" s="449"/>
      <c r="BG499" s="450"/>
      <c r="BH499" s="445"/>
      <c r="BI499" s="491"/>
      <c r="BJ499" s="491">
        <v>6</v>
      </c>
      <c r="BK499" s="445" t="s">
        <v>3218</v>
      </c>
      <c r="BL499" s="445" t="s">
        <v>3219</v>
      </c>
      <c r="BM499" s="445"/>
      <c r="BN499" s="445"/>
      <c r="BO499" s="445"/>
      <c r="BP499" s="445"/>
      <c r="BQ499" s="445" t="s">
        <v>1783</v>
      </c>
      <c r="BR499" s="445">
        <v>5</v>
      </c>
      <c r="BS499" s="445"/>
      <c r="BT499" s="445"/>
      <c r="BU499" s="445"/>
      <c r="BV499" s="445"/>
      <c r="BW499" s="445" t="s">
        <v>2396</v>
      </c>
      <c r="BX499" s="445"/>
      <c r="BY499" s="445"/>
    </row>
    <row r="500" spans="1:77" ht="15">
      <c r="A500" s="370" t="s">
        <v>1783</v>
      </c>
      <c r="B500" s="415" t="s">
        <v>132</v>
      </c>
      <c r="C500" s="416" t="s">
        <v>1784</v>
      </c>
      <c r="D500" s="444">
        <v>0</v>
      </c>
      <c r="E500" s="415" t="s">
        <v>1749</v>
      </c>
      <c r="F500" s="444">
        <v>3</v>
      </c>
      <c r="G500" s="415" t="s">
        <v>1750</v>
      </c>
      <c r="H500" s="444">
        <v>35</v>
      </c>
      <c r="I500" s="417" t="s">
        <v>1659</v>
      </c>
      <c r="J500" s="444">
        <v>2.1</v>
      </c>
      <c r="K500" s="444">
        <v>0</v>
      </c>
      <c r="L500" s="444"/>
      <c r="M500" s="444">
        <v>0</v>
      </c>
      <c r="N500" s="444">
        <v>0</v>
      </c>
      <c r="O500" s="444"/>
      <c r="P500" s="444"/>
      <c r="Q500" s="444">
        <v>275</v>
      </c>
      <c r="R500" s="444"/>
      <c r="S500" s="444">
        <v>0</v>
      </c>
      <c r="T500" s="444">
        <v>0</v>
      </c>
      <c r="U500" s="444"/>
      <c r="V500" s="444">
        <v>0</v>
      </c>
      <c r="W500" s="444">
        <v>0</v>
      </c>
      <c r="X500" s="418"/>
      <c r="Y500" s="445"/>
      <c r="Z500" s="420"/>
      <c r="AA500" s="421">
        <v>198.52</v>
      </c>
      <c r="AB500" s="421"/>
      <c r="AC500" s="454">
        <v>23</v>
      </c>
      <c r="AE500" s="445" t="s">
        <v>2400</v>
      </c>
      <c r="AF500" s="454">
        <v>1</v>
      </c>
      <c r="AG500" s="441">
        <v>43101</v>
      </c>
      <c r="AJ500" s="442">
        <v>43313</v>
      </c>
      <c r="AL500" s="446" t="s">
        <v>924</v>
      </c>
      <c r="AO500" s="445"/>
      <c r="AP500" s="454">
        <v>556633</v>
      </c>
      <c r="AQ500" s="443">
        <v>43102</v>
      </c>
      <c r="AR500" s="370">
        <v>0.5</v>
      </c>
      <c r="AT500" s="447"/>
      <c r="AU500" s="447"/>
      <c r="AV500" s="447"/>
      <c r="AY500" s="427" t="s">
        <v>1559</v>
      </c>
      <c r="AZ500" s="373"/>
      <c r="BB500" s="374" t="s">
        <v>2214</v>
      </c>
      <c r="BC500" s="445"/>
      <c r="BE500" s="448"/>
      <c r="BF500" s="449"/>
      <c r="BG500" s="450"/>
      <c r="BH500" s="445"/>
      <c r="BI500" s="491"/>
      <c r="BJ500" s="491">
        <v>7</v>
      </c>
      <c r="BK500" s="445" t="s">
        <v>2926</v>
      </c>
      <c r="BL500" s="445" t="s">
        <v>2927</v>
      </c>
      <c r="BM500" s="445"/>
      <c r="BN500" s="445"/>
      <c r="BO500" s="445"/>
      <c r="BP500" s="445"/>
      <c r="BQ500" s="445" t="s">
        <v>1783</v>
      </c>
      <c r="BR500" s="445">
        <v>5</v>
      </c>
      <c r="BS500" s="445"/>
      <c r="BT500" s="445"/>
      <c r="BU500" s="445"/>
      <c r="BV500" s="445"/>
      <c r="BW500" s="445" t="s">
        <v>2396</v>
      </c>
      <c r="BX500" s="445"/>
      <c r="BY500" s="445"/>
    </row>
    <row r="501" spans="1:77" ht="15">
      <c r="A501" s="370" t="s">
        <v>31</v>
      </c>
      <c r="B501" s="415" t="s">
        <v>19</v>
      </c>
      <c r="C501" s="416" t="s">
        <v>31</v>
      </c>
      <c r="D501" s="444">
        <v>0</v>
      </c>
      <c r="E501" s="415" t="s">
        <v>1749</v>
      </c>
      <c r="F501" s="444">
        <v>3</v>
      </c>
      <c r="G501" s="415" t="s">
        <v>1750</v>
      </c>
      <c r="H501" s="444">
        <v>69</v>
      </c>
      <c r="I501" s="417" t="s">
        <v>1434</v>
      </c>
      <c r="J501" s="444">
        <v>2.2999999999999998</v>
      </c>
      <c r="K501" s="444">
        <v>957</v>
      </c>
      <c r="L501" s="444">
        <v>0</v>
      </c>
      <c r="M501" s="444">
        <v>1</v>
      </c>
      <c r="N501" s="444">
        <v>403</v>
      </c>
      <c r="O501" s="444">
        <v>0</v>
      </c>
      <c r="P501" s="444">
        <v>0</v>
      </c>
      <c r="Q501" s="444">
        <v>40</v>
      </c>
      <c r="R501" s="444">
        <v>46</v>
      </c>
      <c r="S501" s="444">
        <v>11</v>
      </c>
      <c r="T501" s="444">
        <v>166</v>
      </c>
      <c r="U501" s="444">
        <v>16</v>
      </c>
      <c r="V501" s="444">
        <v>9</v>
      </c>
      <c r="W501" s="444">
        <v>112</v>
      </c>
      <c r="X501" s="418"/>
      <c r="Y501" s="445"/>
      <c r="Z501" s="420"/>
      <c r="AA501" s="421">
        <v>70.141000000000005</v>
      </c>
      <c r="AB501" s="421">
        <v>32.83</v>
      </c>
      <c r="AC501" s="454">
        <v>54</v>
      </c>
      <c r="AE501" s="445" t="s">
        <v>2402</v>
      </c>
      <c r="AF501" s="454">
        <v>1</v>
      </c>
      <c r="AG501" s="441">
        <v>43101</v>
      </c>
      <c r="AJ501" s="442">
        <v>43325</v>
      </c>
      <c r="AL501" s="446" t="s">
        <v>927</v>
      </c>
      <c r="AO501" s="445"/>
      <c r="AP501" s="454">
        <v>556620</v>
      </c>
      <c r="AQ501" s="443">
        <v>43077</v>
      </c>
      <c r="AR501" s="370">
        <v>0.3</v>
      </c>
      <c r="AT501" s="447"/>
      <c r="AU501" s="447"/>
      <c r="AV501" s="447"/>
      <c r="AY501" s="427" t="s">
        <v>1559</v>
      </c>
      <c r="AZ501" s="373"/>
      <c r="BB501" s="374" t="s">
        <v>2214</v>
      </c>
      <c r="BC501" s="445"/>
      <c r="BE501" s="448">
        <v>5</v>
      </c>
      <c r="BF501" s="449">
        <v>40</v>
      </c>
      <c r="BG501" s="450"/>
      <c r="BH501" s="445"/>
      <c r="BI501" s="491"/>
      <c r="BJ501" s="491">
        <v>1</v>
      </c>
      <c r="BK501" s="445" t="s">
        <v>3220</v>
      </c>
      <c r="BL501" s="445" t="s">
        <v>3221</v>
      </c>
      <c r="BM501" s="445"/>
      <c r="BN501" s="445" t="s">
        <v>1765</v>
      </c>
      <c r="BO501" s="445" t="s">
        <v>1765</v>
      </c>
      <c r="BP501" s="445" t="s">
        <v>1765</v>
      </c>
      <c r="BQ501" s="445" t="s">
        <v>31</v>
      </c>
      <c r="BR501" s="445">
        <v>2</v>
      </c>
      <c r="BS501" s="445"/>
      <c r="BT501" s="445"/>
      <c r="BU501" s="445"/>
      <c r="BV501" s="445"/>
      <c r="BW501" s="445" t="s">
        <v>2401</v>
      </c>
      <c r="BX501" s="445"/>
      <c r="BY501" s="445"/>
    </row>
    <row r="502" spans="1:77" ht="15">
      <c r="A502" s="370" t="s">
        <v>31</v>
      </c>
      <c r="B502" s="415" t="s">
        <v>19</v>
      </c>
      <c r="C502" s="416" t="s">
        <v>31</v>
      </c>
      <c r="D502" s="444">
        <v>0</v>
      </c>
      <c r="E502" s="415" t="s">
        <v>1749</v>
      </c>
      <c r="F502" s="444">
        <v>2</v>
      </c>
      <c r="G502" s="415" t="s">
        <v>1750</v>
      </c>
      <c r="H502" s="444">
        <v>59</v>
      </c>
      <c r="I502" s="417" t="s">
        <v>1663</v>
      </c>
      <c r="J502" s="444">
        <v>1.8</v>
      </c>
      <c r="K502" s="444">
        <v>975</v>
      </c>
      <c r="L502" s="444">
        <v>0</v>
      </c>
      <c r="M502" s="444">
        <v>1</v>
      </c>
      <c r="N502" s="444">
        <v>160</v>
      </c>
      <c r="O502" s="444">
        <v>0</v>
      </c>
      <c r="P502" s="444">
        <v>0</v>
      </c>
      <c r="Q502" s="444">
        <v>0</v>
      </c>
      <c r="R502" s="444">
        <v>44</v>
      </c>
      <c r="S502" s="444">
        <v>13</v>
      </c>
      <c r="T502" s="444">
        <v>184</v>
      </c>
      <c r="U502" s="444">
        <v>15</v>
      </c>
      <c r="V502" s="444">
        <v>10</v>
      </c>
      <c r="W502" s="444">
        <v>124</v>
      </c>
      <c r="X502" s="418"/>
      <c r="Y502" s="445"/>
      <c r="Z502" s="420"/>
      <c r="AA502" s="421">
        <v>81.466999999999999</v>
      </c>
      <c r="AB502" s="421">
        <v>37.944000000000003</v>
      </c>
      <c r="AC502" s="454">
        <v>41</v>
      </c>
      <c r="AE502" s="445" t="s">
        <v>2403</v>
      </c>
      <c r="AF502" s="454">
        <v>1</v>
      </c>
      <c r="AG502" s="441">
        <v>43101</v>
      </c>
      <c r="AJ502" s="442">
        <v>43325</v>
      </c>
      <c r="AL502" s="446" t="s">
        <v>927</v>
      </c>
      <c r="AO502" s="445"/>
      <c r="AP502" s="454">
        <v>556620</v>
      </c>
      <c r="AQ502" s="443">
        <v>43077</v>
      </c>
      <c r="AR502" s="370">
        <v>0.3</v>
      </c>
      <c r="AT502" s="447"/>
      <c r="AU502" s="447"/>
      <c r="AV502" s="447"/>
      <c r="AY502" s="427" t="s">
        <v>1559</v>
      </c>
      <c r="AZ502" s="373"/>
      <c r="BB502" s="374" t="s">
        <v>2214</v>
      </c>
      <c r="BC502" s="445"/>
      <c r="BE502" s="448">
        <v>5</v>
      </c>
      <c r="BF502" s="449">
        <v>40</v>
      </c>
      <c r="BG502" s="450"/>
      <c r="BH502" s="445"/>
      <c r="BI502" s="491"/>
      <c r="BJ502" s="491">
        <v>2</v>
      </c>
      <c r="BK502" s="445" t="s">
        <v>3222</v>
      </c>
      <c r="BL502" s="445" t="s">
        <v>3223</v>
      </c>
      <c r="BM502" s="445"/>
      <c r="BN502" s="445" t="s">
        <v>1765</v>
      </c>
      <c r="BO502" s="445" t="s">
        <v>1765</v>
      </c>
      <c r="BP502" s="445" t="s">
        <v>1765</v>
      </c>
      <c r="BQ502" s="445" t="s">
        <v>31</v>
      </c>
      <c r="BR502" s="445">
        <v>2</v>
      </c>
      <c r="BS502" s="445"/>
      <c r="BT502" s="445"/>
      <c r="BU502" s="445"/>
      <c r="BV502" s="445"/>
      <c r="BW502" s="445" t="s">
        <v>2404</v>
      </c>
      <c r="BX502" s="445"/>
      <c r="BY502" s="445"/>
    </row>
    <row r="503" spans="1:77" ht="15">
      <c r="A503" s="370" t="s">
        <v>31</v>
      </c>
      <c r="B503" s="415" t="s">
        <v>19</v>
      </c>
      <c r="C503" s="416" t="s">
        <v>31</v>
      </c>
      <c r="D503" s="444">
        <v>0</v>
      </c>
      <c r="E503" s="415" t="s">
        <v>1749</v>
      </c>
      <c r="F503" s="444">
        <v>3</v>
      </c>
      <c r="G503" s="415" t="s">
        <v>1750</v>
      </c>
      <c r="H503" s="444">
        <v>50</v>
      </c>
      <c r="I503" s="417" t="s">
        <v>1632</v>
      </c>
      <c r="J503" s="444">
        <v>1.8</v>
      </c>
      <c r="K503" s="444">
        <v>1057</v>
      </c>
      <c r="L503" s="444">
        <v>0</v>
      </c>
      <c r="M503" s="444">
        <v>2</v>
      </c>
      <c r="N503" s="444">
        <v>100</v>
      </c>
      <c r="O503" s="444">
        <v>0</v>
      </c>
      <c r="P503" s="444">
        <v>0</v>
      </c>
      <c r="Q503" s="444">
        <v>10</v>
      </c>
      <c r="R503" s="444">
        <v>10</v>
      </c>
      <c r="S503" s="444">
        <v>25</v>
      </c>
      <c r="T503" s="444">
        <v>172</v>
      </c>
      <c r="U503" s="444">
        <v>3</v>
      </c>
      <c r="V503" s="444">
        <v>20</v>
      </c>
      <c r="W503" s="444">
        <v>119</v>
      </c>
      <c r="X503" s="418"/>
      <c r="Y503" s="445"/>
      <c r="Z503" s="420"/>
      <c r="AA503" s="421">
        <v>98.906000000000006</v>
      </c>
      <c r="AB503" s="421">
        <v>44.503999999999998</v>
      </c>
      <c r="AC503" s="454">
        <v>31</v>
      </c>
      <c r="AE503" s="445" t="s">
        <v>2405</v>
      </c>
      <c r="AF503" s="454">
        <v>1</v>
      </c>
      <c r="AG503" s="441">
        <v>43101</v>
      </c>
      <c r="AJ503" s="442">
        <v>43325</v>
      </c>
      <c r="AL503" s="446" t="s">
        <v>927</v>
      </c>
      <c r="AO503" s="445"/>
      <c r="AP503" s="454">
        <v>556620</v>
      </c>
      <c r="AQ503" s="443">
        <v>43077</v>
      </c>
      <c r="AR503" s="370">
        <v>0.3</v>
      </c>
      <c r="AT503" s="447"/>
      <c r="AU503" s="447"/>
      <c r="AV503" s="447"/>
      <c r="AY503" s="427" t="s">
        <v>1559</v>
      </c>
      <c r="AZ503" s="373"/>
      <c r="BB503" s="374" t="s">
        <v>2214</v>
      </c>
      <c r="BC503" s="445"/>
      <c r="BE503" s="448">
        <v>5</v>
      </c>
      <c r="BF503" s="449">
        <v>20</v>
      </c>
      <c r="BG503" s="450"/>
      <c r="BH503" s="445"/>
      <c r="BI503" s="491"/>
      <c r="BJ503" s="491">
        <v>3</v>
      </c>
      <c r="BK503" s="445" t="s">
        <v>3224</v>
      </c>
      <c r="BL503" s="445" t="s">
        <v>3225</v>
      </c>
      <c r="BM503" s="445"/>
      <c r="BN503" s="445" t="s">
        <v>1765</v>
      </c>
      <c r="BO503" s="445" t="s">
        <v>1765</v>
      </c>
      <c r="BP503" s="445" t="s">
        <v>1765</v>
      </c>
      <c r="BQ503" s="445" t="s">
        <v>31</v>
      </c>
      <c r="BR503" s="445">
        <v>2</v>
      </c>
      <c r="BS503" s="445"/>
      <c r="BT503" s="445"/>
      <c r="BU503" s="445"/>
      <c r="BV503" s="445"/>
      <c r="BW503" s="445" t="s">
        <v>2406</v>
      </c>
      <c r="BX503" s="445"/>
      <c r="BY503" s="445"/>
    </row>
    <row r="504" spans="1:77" ht="15">
      <c r="A504" s="370" t="s">
        <v>1269</v>
      </c>
      <c r="B504" s="415" t="s">
        <v>19</v>
      </c>
      <c r="C504" s="416" t="s">
        <v>1682</v>
      </c>
      <c r="D504" s="444">
        <v>0</v>
      </c>
      <c r="E504" s="415" t="s">
        <v>1749</v>
      </c>
      <c r="F504" s="444">
        <v>3</v>
      </c>
      <c r="G504" s="415" t="s">
        <v>1750</v>
      </c>
      <c r="H504" s="444">
        <v>125</v>
      </c>
      <c r="I504" s="417" t="s">
        <v>1428</v>
      </c>
      <c r="J504" s="444">
        <v>0.1</v>
      </c>
      <c r="K504" s="444">
        <v>49</v>
      </c>
      <c r="L504" s="444"/>
      <c r="M504" s="444">
        <v>0</v>
      </c>
      <c r="N504" s="444">
        <v>0</v>
      </c>
      <c r="O504" s="444"/>
      <c r="P504" s="444"/>
      <c r="Q504" s="444">
        <v>0</v>
      </c>
      <c r="R504" s="444"/>
      <c r="S504" s="444">
        <v>0</v>
      </c>
      <c r="T504" s="444">
        <v>0</v>
      </c>
      <c r="U504" s="444">
        <v>0</v>
      </c>
      <c r="V504" s="444">
        <v>0</v>
      </c>
      <c r="W504" s="444">
        <v>20</v>
      </c>
      <c r="X504" s="418"/>
      <c r="Y504" s="445"/>
      <c r="Z504" s="420"/>
      <c r="AA504" s="421">
        <v>84.111999999999995</v>
      </c>
      <c r="AB504" s="421"/>
      <c r="AC504" s="454">
        <v>3</v>
      </c>
      <c r="AE504" s="445" t="s">
        <v>2407</v>
      </c>
      <c r="AF504" s="454">
        <v>1</v>
      </c>
      <c r="AG504" s="441">
        <v>43101</v>
      </c>
      <c r="AJ504" s="442">
        <v>43328</v>
      </c>
      <c r="AL504" s="446" t="s">
        <v>999</v>
      </c>
      <c r="AO504" s="445"/>
      <c r="AP504" s="454">
        <v>556719</v>
      </c>
      <c r="AQ504" s="443">
        <v>43328</v>
      </c>
      <c r="AR504" s="370">
        <v>0.3</v>
      </c>
      <c r="AT504" s="447"/>
      <c r="AU504" s="447"/>
      <c r="AV504" s="447"/>
      <c r="AY504" s="427" t="s">
        <v>1559</v>
      </c>
      <c r="AZ504" s="373"/>
      <c r="BB504" s="374" t="s">
        <v>2214</v>
      </c>
      <c r="BC504" s="445"/>
      <c r="BE504" s="448"/>
      <c r="BF504" s="449"/>
      <c r="BG504" s="450"/>
      <c r="BH504" s="445"/>
      <c r="BI504" s="491"/>
      <c r="BJ504" s="491">
        <v>4</v>
      </c>
      <c r="BK504" s="445" t="s">
        <v>3226</v>
      </c>
      <c r="BL504" s="445" t="s">
        <v>3227</v>
      </c>
      <c r="BM504" s="445"/>
      <c r="BN504" s="445"/>
      <c r="BO504" s="445"/>
      <c r="BP504" s="445"/>
      <c r="BQ504" s="445" t="s">
        <v>1269</v>
      </c>
      <c r="BR504" s="445">
        <v>2</v>
      </c>
      <c r="BS504" s="445"/>
      <c r="BT504" s="445"/>
      <c r="BU504" s="445"/>
      <c r="BV504" s="445"/>
      <c r="BW504" s="445" t="s">
        <v>2406</v>
      </c>
      <c r="BX504" s="445"/>
      <c r="BY504" s="445"/>
    </row>
    <row r="505" spans="1:77" ht="15">
      <c r="A505" s="370" t="s">
        <v>1269</v>
      </c>
      <c r="B505" s="415" t="s">
        <v>177</v>
      </c>
      <c r="C505" s="416" t="s">
        <v>1682</v>
      </c>
      <c r="D505" s="444">
        <v>0</v>
      </c>
      <c r="E505" s="415" t="s">
        <v>1749</v>
      </c>
      <c r="F505" s="444">
        <v>3</v>
      </c>
      <c r="G505" s="415" t="s">
        <v>1750</v>
      </c>
      <c r="H505" s="444">
        <v>48</v>
      </c>
      <c r="I505" s="417" t="s">
        <v>1683</v>
      </c>
      <c r="J505" s="444">
        <v>14.5</v>
      </c>
      <c r="K505" s="444">
        <v>741</v>
      </c>
      <c r="L505" s="444"/>
      <c r="M505" s="444">
        <v>4</v>
      </c>
      <c r="N505" s="444">
        <v>29</v>
      </c>
      <c r="O505" s="444"/>
      <c r="P505" s="444"/>
      <c r="Q505" s="444">
        <v>0</v>
      </c>
      <c r="R505" s="444">
        <v>44</v>
      </c>
      <c r="S505" s="444">
        <v>31</v>
      </c>
      <c r="T505" s="444">
        <v>156</v>
      </c>
      <c r="U505" s="444">
        <v>8</v>
      </c>
      <c r="V505" s="444">
        <v>4</v>
      </c>
      <c r="W505" s="444">
        <v>5</v>
      </c>
      <c r="X505" s="418"/>
      <c r="Y505" s="445"/>
      <c r="Z505" s="420"/>
      <c r="AA505" s="421">
        <v>85.742000000000004</v>
      </c>
      <c r="AB505" s="421"/>
      <c r="AC505" s="454">
        <v>26</v>
      </c>
      <c r="AE505" s="445" t="s">
        <v>2408</v>
      </c>
      <c r="AF505" s="454">
        <v>1</v>
      </c>
      <c r="AG505" s="441">
        <v>43101</v>
      </c>
      <c r="AJ505" s="442">
        <v>43329</v>
      </c>
      <c r="AL505" s="446" t="s">
        <v>920</v>
      </c>
      <c r="AO505" s="445"/>
      <c r="AP505" s="454">
        <v>556675</v>
      </c>
      <c r="AQ505" s="443">
        <v>43329</v>
      </c>
      <c r="AR505" s="370">
        <v>0.3</v>
      </c>
      <c r="AT505" s="447"/>
      <c r="AU505" s="447"/>
      <c r="AV505" s="447"/>
      <c r="AY505" s="427" t="s">
        <v>1717</v>
      </c>
      <c r="AZ505" s="373"/>
      <c r="BB505" s="374" t="s">
        <v>1727</v>
      </c>
      <c r="BC505" s="445"/>
      <c r="BE505" s="448"/>
      <c r="BF505" s="449"/>
      <c r="BG505" s="450"/>
      <c r="BH505" s="445"/>
      <c r="BI505" s="491"/>
      <c r="BJ505" s="491">
        <v>1</v>
      </c>
      <c r="BK505" s="445" t="s">
        <v>128</v>
      </c>
      <c r="BL505" s="445" t="s">
        <v>3228</v>
      </c>
      <c r="BM505" s="445"/>
      <c r="BN505" s="445"/>
      <c r="BO505" s="445"/>
      <c r="BP505" s="445"/>
      <c r="BQ505" s="445" t="s">
        <v>1269</v>
      </c>
      <c r="BR505" s="445">
        <v>2</v>
      </c>
      <c r="BS505" s="445"/>
      <c r="BT505" s="445"/>
      <c r="BU505" s="445"/>
      <c r="BV505" s="445"/>
      <c r="BW505" s="445" t="s">
        <v>2406</v>
      </c>
      <c r="BX505" s="445"/>
      <c r="BY505" s="445"/>
    </row>
    <row r="506" spans="1:77" ht="15">
      <c r="A506" s="370" t="s">
        <v>1269</v>
      </c>
      <c r="B506" s="415" t="s">
        <v>177</v>
      </c>
      <c r="C506" s="416" t="s">
        <v>1682</v>
      </c>
      <c r="D506" s="444">
        <v>0</v>
      </c>
      <c r="E506" s="415" t="s">
        <v>1749</v>
      </c>
      <c r="F506" s="444">
        <v>3</v>
      </c>
      <c r="G506" s="415" t="s">
        <v>1750</v>
      </c>
      <c r="H506" s="444">
        <v>81</v>
      </c>
      <c r="I506" s="417" t="s">
        <v>2409</v>
      </c>
      <c r="J506" s="444">
        <v>0.1</v>
      </c>
      <c r="K506" s="444">
        <v>21</v>
      </c>
      <c r="L506" s="444"/>
      <c r="M506" s="444">
        <v>0</v>
      </c>
      <c r="N506" s="444">
        <v>2</v>
      </c>
      <c r="O506" s="444"/>
      <c r="P506" s="444"/>
      <c r="Q506" s="444">
        <v>0</v>
      </c>
      <c r="R506" s="444">
        <v>0</v>
      </c>
      <c r="S506" s="444">
        <v>0</v>
      </c>
      <c r="T506" s="444">
        <v>0</v>
      </c>
      <c r="U506" s="444">
        <v>0</v>
      </c>
      <c r="V506" s="444">
        <v>0</v>
      </c>
      <c r="W506" s="444">
        <v>7</v>
      </c>
      <c r="X506" s="418"/>
      <c r="Y506" s="445"/>
      <c r="Z506" s="420"/>
      <c r="AA506" s="421">
        <v>72.706999999999994</v>
      </c>
      <c r="AB506" s="421"/>
      <c r="AC506" s="454">
        <v>0</v>
      </c>
      <c r="AE506" s="445" t="s">
        <v>2410</v>
      </c>
      <c r="AF506" s="454">
        <v>1</v>
      </c>
      <c r="AG506" s="441">
        <v>43101</v>
      </c>
      <c r="AJ506" s="442">
        <v>43329</v>
      </c>
      <c r="AL506" s="446" t="s">
        <v>1681</v>
      </c>
      <c r="AO506" s="445"/>
      <c r="AP506" s="454">
        <v>556675</v>
      </c>
      <c r="AQ506" s="443">
        <v>43329</v>
      </c>
      <c r="AR506" s="370">
        <v>0.3</v>
      </c>
      <c r="AT506" s="447"/>
      <c r="AU506" s="447"/>
      <c r="AV506" s="447"/>
      <c r="AY506" s="427" t="s">
        <v>1717</v>
      </c>
      <c r="AZ506" s="373"/>
      <c r="BB506" s="374" t="s">
        <v>1727</v>
      </c>
      <c r="BC506" s="445"/>
      <c r="BE506" s="448"/>
      <c r="BF506" s="449"/>
      <c r="BG506" s="450"/>
      <c r="BH506" s="445"/>
      <c r="BI506" s="491"/>
      <c r="BJ506" s="491">
        <v>2</v>
      </c>
      <c r="BK506" s="445" t="s">
        <v>3229</v>
      </c>
      <c r="BL506" s="445" t="s">
        <v>3230</v>
      </c>
      <c r="BM506" s="445"/>
      <c r="BN506" s="445"/>
      <c r="BO506" s="445"/>
      <c r="BP506" s="445"/>
      <c r="BQ506" s="445" t="s">
        <v>1269</v>
      </c>
      <c r="BR506" s="445">
        <v>2</v>
      </c>
      <c r="BS506" s="445"/>
      <c r="BT506" s="445"/>
      <c r="BU506" s="445"/>
      <c r="BV506" s="445"/>
      <c r="BW506" s="445" t="s">
        <v>2406</v>
      </c>
      <c r="BX506" s="445"/>
      <c r="BY506" s="445"/>
    </row>
    <row r="507" spans="1:77" ht="15">
      <c r="A507" s="370" t="s">
        <v>1269</v>
      </c>
      <c r="B507" s="415" t="s">
        <v>85</v>
      </c>
      <c r="C507" s="416" t="s">
        <v>2131</v>
      </c>
      <c r="D507" s="444">
        <v>0</v>
      </c>
      <c r="E507" s="415" t="s">
        <v>1749</v>
      </c>
      <c r="F507" s="444">
        <v>3</v>
      </c>
      <c r="G507" s="415" t="s">
        <v>1750</v>
      </c>
      <c r="H507" s="444">
        <v>10</v>
      </c>
      <c r="I507" s="417" t="s">
        <v>1684</v>
      </c>
      <c r="J507" s="444">
        <v>0.1</v>
      </c>
      <c r="K507" s="444">
        <v>38</v>
      </c>
      <c r="L507" s="444"/>
      <c r="M507" s="444">
        <v>27</v>
      </c>
      <c r="N507" s="444">
        <v>0</v>
      </c>
      <c r="O507" s="444"/>
      <c r="P507" s="444"/>
      <c r="Q507" s="444">
        <v>0</v>
      </c>
      <c r="R507" s="444">
        <v>0</v>
      </c>
      <c r="S507" s="444">
        <v>0</v>
      </c>
      <c r="T507" s="444">
        <v>0</v>
      </c>
      <c r="U507" s="444">
        <v>0</v>
      </c>
      <c r="V507" s="444">
        <v>21</v>
      </c>
      <c r="W507" s="444">
        <v>0</v>
      </c>
      <c r="X507" s="418"/>
      <c r="Y507" s="445"/>
      <c r="Z507" s="420"/>
      <c r="AA507" s="421">
        <v>42.631999999999998</v>
      </c>
      <c r="AB507" s="421"/>
      <c r="AC507" s="454">
        <v>5</v>
      </c>
      <c r="AE507" s="445" t="s">
        <v>2411</v>
      </c>
      <c r="AF507" s="454">
        <v>1</v>
      </c>
      <c r="AG507" s="441">
        <v>43101</v>
      </c>
      <c r="AJ507" s="442">
        <v>43313</v>
      </c>
      <c r="AL507" s="446" t="s">
        <v>910</v>
      </c>
      <c r="AO507" s="445"/>
      <c r="AP507" s="454">
        <v>556672</v>
      </c>
      <c r="AQ507" s="443">
        <v>43214</v>
      </c>
      <c r="AR507" s="370">
        <v>0.3</v>
      </c>
      <c r="AT507" s="447"/>
      <c r="AU507" s="447"/>
      <c r="AV507" s="447"/>
      <c r="AY507" s="427" t="s">
        <v>1717</v>
      </c>
      <c r="AZ507" s="373"/>
      <c r="BB507" s="374" t="s">
        <v>1727</v>
      </c>
      <c r="BC507" s="445"/>
      <c r="BE507" s="448"/>
      <c r="BF507" s="449"/>
      <c r="BG507" s="450"/>
      <c r="BH507" s="445"/>
      <c r="BI507" s="491"/>
      <c r="BJ507" s="491">
        <v>11</v>
      </c>
      <c r="BK507" s="445" t="s">
        <v>3231</v>
      </c>
      <c r="BL507" s="445" t="s">
        <v>3232</v>
      </c>
      <c r="BM507" s="445"/>
      <c r="BN507" s="445"/>
      <c r="BO507" s="445"/>
      <c r="BP507" s="445"/>
      <c r="BQ507" s="445" t="s">
        <v>1269</v>
      </c>
      <c r="BR507" s="445">
        <v>2</v>
      </c>
      <c r="BS507" s="445"/>
      <c r="BT507" s="445"/>
      <c r="BU507" s="445"/>
      <c r="BV507" s="445"/>
      <c r="BW507" s="445" t="s">
        <v>2406</v>
      </c>
      <c r="BX507" s="445"/>
      <c r="BY507" s="445"/>
    </row>
    <row r="508" spans="1:77" ht="15">
      <c r="A508" s="370" t="s">
        <v>1269</v>
      </c>
      <c r="B508" s="415" t="s">
        <v>85</v>
      </c>
      <c r="C508" s="416" t="s">
        <v>2131</v>
      </c>
      <c r="D508" s="444">
        <v>0</v>
      </c>
      <c r="E508" s="415" t="s">
        <v>1749</v>
      </c>
      <c r="F508" s="444">
        <v>3</v>
      </c>
      <c r="G508" s="415" t="s">
        <v>1750</v>
      </c>
      <c r="H508" s="444">
        <v>10</v>
      </c>
      <c r="I508" s="417" t="s">
        <v>1685</v>
      </c>
      <c r="J508" s="444">
        <v>0.5</v>
      </c>
      <c r="K508" s="444">
        <v>17</v>
      </c>
      <c r="L508" s="444"/>
      <c r="M508" s="444">
        <v>8</v>
      </c>
      <c r="N508" s="444">
        <v>0</v>
      </c>
      <c r="O508" s="444"/>
      <c r="P508" s="444"/>
      <c r="Q508" s="444">
        <v>0</v>
      </c>
      <c r="R508" s="444">
        <v>0</v>
      </c>
      <c r="S508" s="444">
        <v>0</v>
      </c>
      <c r="T508" s="444">
        <v>0</v>
      </c>
      <c r="U508" s="444">
        <v>0</v>
      </c>
      <c r="V508" s="444">
        <v>9</v>
      </c>
      <c r="W508" s="444">
        <v>0</v>
      </c>
      <c r="X508" s="418"/>
      <c r="Y508" s="445"/>
      <c r="Z508" s="420"/>
      <c r="AA508" s="421">
        <v>46.210999999999999</v>
      </c>
      <c r="AB508" s="421"/>
      <c r="AC508" s="454">
        <v>2</v>
      </c>
      <c r="AE508" s="445" t="s">
        <v>2412</v>
      </c>
      <c r="AF508" s="454">
        <v>1</v>
      </c>
      <c r="AG508" s="441">
        <v>43101</v>
      </c>
      <c r="AJ508" s="442">
        <v>43313</v>
      </c>
      <c r="AL508" s="446" t="s">
        <v>910</v>
      </c>
      <c r="AO508" s="445"/>
      <c r="AP508" s="454">
        <v>556672</v>
      </c>
      <c r="AQ508" s="443">
        <v>43214</v>
      </c>
      <c r="AR508" s="370">
        <v>0.3</v>
      </c>
      <c r="AT508" s="447"/>
      <c r="AU508" s="447"/>
      <c r="AV508" s="447"/>
      <c r="AY508" s="427" t="s">
        <v>1717</v>
      </c>
      <c r="AZ508" s="373"/>
      <c r="BB508" s="374" t="s">
        <v>1727</v>
      </c>
      <c r="BC508" s="445"/>
      <c r="BE508" s="448"/>
      <c r="BF508" s="449"/>
      <c r="BG508" s="450"/>
      <c r="BH508" s="445"/>
      <c r="BI508" s="491"/>
      <c r="BJ508" s="491">
        <v>9</v>
      </c>
      <c r="BK508" s="445" t="s">
        <v>3233</v>
      </c>
      <c r="BL508" s="445" t="s">
        <v>3234</v>
      </c>
      <c r="BM508" s="445"/>
      <c r="BN508" s="445"/>
      <c r="BO508" s="445"/>
      <c r="BP508" s="445"/>
      <c r="BQ508" s="445" t="s">
        <v>1269</v>
      </c>
      <c r="BR508" s="445">
        <v>2</v>
      </c>
      <c r="BS508" s="445"/>
      <c r="BT508" s="445"/>
      <c r="BU508" s="445"/>
      <c r="BV508" s="445"/>
      <c r="BW508" s="445" t="s">
        <v>2406</v>
      </c>
      <c r="BX508" s="445"/>
      <c r="BY508" s="445"/>
    </row>
    <row r="509" spans="1:77" ht="15">
      <c r="A509" s="370" t="s">
        <v>1269</v>
      </c>
      <c r="B509" s="415" t="s">
        <v>85</v>
      </c>
      <c r="C509" s="416" t="s">
        <v>2131</v>
      </c>
      <c r="D509" s="444">
        <v>0</v>
      </c>
      <c r="E509" s="415" t="s">
        <v>1749</v>
      </c>
      <c r="F509" s="444">
        <v>3</v>
      </c>
      <c r="G509" s="415" t="s">
        <v>1750</v>
      </c>
      <c r="H509" s="444">
        <v>10</v>
      </c>
      <c r="I509" s="417" t="s">
        <v>1659</v>
      </c>
      <c r="J509" s="444">
        <v>0.5</v>
      </c>
      <c r="K509" s="444">
        <v>38</v>
      </c>
      <c r="L509" s="444"/>
      <c r="M509" s="444">
        <v>18</v>
      </c>
      <c r="N509" s="444">
        <v>0</v>
      </c>
      <c r="O509" s="444"/>
      <c r="P509" s="444"/>
      <c r="Q509" s="444">
        <v>0</v>
      </c>
      <c r="R509" s="444">
        <v>0</v>
      </c>
      <c r="S509" s="444">
        <v>11</v>
      </c>
      <c r="T509" s="444">
        <v>0</v>
      </c>
      <c r="U509" s="444">
        <v>0</v>
      </c>
      <c r="V509" s="444">
        <v>5</v>
      </c>
      <c r="W509" s="444">
        <v>0</v>
      </c>
      <c r="X509" s="418"/>
      <c r="Y509" s="445"/>
      <c r="Z509" s="420"/>
      <c r="AA509" s="421">
        <v>46.097999999999999</v>
      </c>
      <c r="AB509" s="421"/>
      <c r="AC509" s="454">
        <v>3</v>
      </c>
      <c r="AE509" s="445" t="s">
        <v>2413</v>
      </c>
      <c r="AF509" s="454">
        <v>1</v>
      </c>
      <c r="AG509" s="441">
        <v>43101</v>
      </c>
      <c r="AJ509" s="442">
        <v>43313</v>
      </c>
      <c r="AL509" s="446" t="s">
        <v>910</v>
      </c>
      <c r="AO509" s="445"/>
      <c r="AP509" s="454">
        <v>556672</v>
      </c>
      <c r="AQ509" s="443">
        <v>43214</v>
      </c>
      <c r="AR509" s="370">
        <v>0.3</v>
      </c>
      <c r="AT509" s="447"/>
      <c r="AU509" s="447"/>
      <c r="AV509" s="447"/>
      <c r="AY509" s="427" t="s">
        <v>1717</v>
      </c>
      <c r="AZ509" s="373"/>
      <c r="BB509" s="374" t="s">
        <v>1727</v>
      </c>
      <c r="BC509" s="445"/>
      <c r="BE509" s="448"/>
      <c r="BF509" s="449"/>
      <c r="BG509" s="450"/>
      <c r="BH509" s="445"/>
      <c r="BI509" s="491"/>
      <c r="BJ509" s="491">
        <v>10</v>
      </c>
      <c r="BK509" s="445" t="s">
        <v>3235</v>
      </c>
      <c r="BL509" s="445" t="s">
        <v>3236</v>
      </c>
      <c r="BM509" s="445"/>
      <c r="BN509" s="445"/>
      <c r="BO509" s="445"/>
      <c r="BP509" s="445"/>
      <c r="BQ509" s="445" t="s">
        <v>1269</v>
      </c>
      <c r="BR509" s="445">
        <v>2</v>
      </c>
      <c r="BS509" s="445"/>
      <c r="BT509" s="445"/>
      <c r="BU509" s="445"/>
      <c r="BV509" s="445"/>
      <c r="BW509" s="445" t="s">
        <v>2406</v>
      </c>
      <c r="BX509" s="445"/>
      <c r="BY509" s="445"/>
    </row>
    <row r="510" spans="1:77" ht="15">
      <c r="A510" s="370" t="s">
        <v>1269</v>
      </c>
      <c r="B510" s="415" t="s">
        <v>85</v>
      </c>
      <c r="C510" s="416" t="s">
        <v>2131</v>
      </c>
      <c r="D510" s="444">
        <v>0</v>
      </c>
      <c r="E510" s="415" t="s">
        <v>1749</v>
      </c>
      <c r="F510" s="444">
        <v>3</v>
      </c>
      <c r="G510" s="415" t="s">
        <v>1750</v>
      </c>
      <c r="H510" s="444">
        <v>10</v>
      </c>
      <c r="I510" s="417" t="s">
        <v>1660</v>
      </c>
      <c r="J510" s="444">
        <v>0.8</v>
      </c>
      <c r="K510" s="444">
        <v>25</v>
      </c>
      <c r="L510" s="444"/>
      <c r="M510" s="444">
        <v>8</v>
      </c>
      <c r="N510" s="444">
        <v>0</v>
      </c>
      <c r="O510" s="444"/>
      <c r="P510" s="444"/>
      <c r="Q510" s="444">
        <v>0</v>
      </c>
      <c r="R510" s="444">
        <v>0</v>
      </c>
      <c r="S510" s="444">
        <v>0</v>
      </c>
      <c r="T510" s="444">
        <v>0</v>
      </c>
      <c r="U510" s="444">
        <v>0</v>
      </c>
      <c r="V510" s="444">
        <v>9</v>
      </c>
      <c r="W510" s="444">
        <v>0</v>
      </c>
      <c r="X510" s="418"/>
      <c r="Y510" s="445"/>
      <c r="Z510" s="420"/>
      <c r="AA510" s="421">
        <v>50.923999999999999</v>
      </c>
      <c r="AB510" s="421"/>
      <c r="AC510" s="454">
        <v>3</v>
      </c>
      <c r="AE510" s="445" t="s">
        <v>2414</v>
      </c>
      <c r="AF510" s="454">
        <v>1</v>
      </c>
      <c r="AG510" s="441">
        <v>43101</v>
      </c>
      <c r="AJ510" s="442">
        <v>43313</v>
      </c>
      <c r="AL510" s="446" t="s">
        <v>910</v>
      </c>
      <c r="AO510" s="445"/>
      <c r="AP510" s="454">
        <v>556672</v>
      </c>
      <c r="AQ510" s="443">
        <v>43214</v>
      </c>
      <c r="AR510" s="370">
        <v>0.3</v>
      </c>
      <c r="AT510" s="447"/>
      <c r="AU510" s="447"/>
      <c r="AV510" s="447"/>
      <c r="AY510" s="427" t="s">
        <v>1717</v>
      </c>
      <c r="AZ510" s="373"/>
      <c r="BB510" s="374" t="s">
        <v>1727</v>
      </c>
      <c r="BC510" s="445"/>
      <c r="BE510" s="448"/>
      <c r="BF510" s="449"/>
      <c r="BG510" s="450"/>
      <c r="BH510" s="445"/>
      <c r="BI510" s="491"/>
      <c r="BJ510" s="491">
        <v>7</v>
      </c>
      <c r="BK510" s="445" t="s">
        <v>2938</v>
      </c>
      <c r="BL510" s="445" t="s">
        <v>3237</v>
      </c>
      <c r="BM510" s="445"/>
      <c r="BN510" s="445"/>
      <c r="BO510" s="445"/>
      <c r="BP510" s="445"/>
      <c r="BQ510" s="445" t="s">
        <v>1269</v>
      </c>
      <c r="BR510" s="445">
        <v>2</v>
      </c>
      <c r="BS510" s="445"/>
      <c r="BT510" s="445"/>
      <c r="BU510" s="445"/>
      <c r="BV510" s="445"/>
      <c r="BW510" s="445" t="s">
        <v>2406</v>
      </c>
      <c r="BX510" s="445"/>
      <c r="BY510" s="445"/>
    </row>
    <row r="511" spans="1:77" ht="15">
      <c r="A511" s="370" t="s">
        <v>1269</v>
      </c>
      <c r="B511" s="415" t="s">
        <v>85</v>
      </c>
      <c r="C511" s="416" t="s">
        <v>2131</v>
      </c>
      <c r="D511" s="444">
        <v>0</v>
      </c>
      <c r="E511" s="415" t="s">
        <v>1749</v>
      </c>
      <c r="F511" s="444">
        <v>3</v>
      </c>
      <c r="G511" s="415" t="s">
        <v>1750</v>
      </c>
      <c r="H511" s="444">
        <v>10</v>
      </c>
      <c r="I511" s="417" t="s">
        <v>1683</v>
      </c>
      <c r="J511" s="444">
        <v>0.6</v>
      </c>
      <c r="K511" s="444">
        <v>70</v>
      </c>
      <c r="L511" s="444"/>
      <c r="M511" s="444">
        <v>27</v>
      </c>
      <c r="N511" s="444">
        <v>0</v>
      </c>
      <c r="O511" s="444"/>
      <c r="P511" s="444"/>
      <c r="Q511" s="444">
        <v>0</v>
      </c>
      <c r="R511" s="444">
        <v>0</v>
      </c>
      <c r="S511" s="444">
        <v>10</v>
      </c>
      <c r="T511" s="444">
        <v>0</v>
      </c>
      <c r="U511" s="444">
        <v>0</v>
      </c>
      <c r="V511" s="444">
        <v>6</v>
      </c>
      <c r="W511" s="444">
        <v>0</v>
      </c>
      <c r="X511" s="418"/>
      <c r="Y511" s="445"/>
      <c r="Z511" s="420"/>
      <c r="AA511" s="421">
        <v>47.228000000000002</v>
      </c>
      <c r="AB511" s="421"/>
      <c r="AC511" s="454">
        <v>6</v>
      </c>
      <c r="AE511" s="445" t="s">
        <v>2415</v>
      </c>
      <c r="AF511" s="454">
        <v>1</v>
      </c>
      <c r="AG511" s="441">
        <v>43101</v>
      </c>
      <c r="AJ511" s="442">
        <v>43313</v>
      </c>
      <c r="AL511" s="446" t="s">
        <v>910</v>
      </c>
      <c r="AO511" s="445"/>
      <c r="AP511" s="454">
        <v>556673</v>
      </c>
      <c r="AQ511" s="443">
        <v>43214</v>
      </c>
      <c r="AR511" s="370">
        <v>0.3</v>
      </c>
      <c r="AT511" s="447"/>
      <c r="AU511" s="447"/>
      <c r="AV511" s="447"/>
      <c r="AY511" s="427" t="s">
        <v>1717</v>
      </c>
      <c r="AZ511" s="373"/>
      <c r="BB511" s="374" t="s">
        <v>1727</v>
      </c>
      <c r="BC511" s="445"/>
      <c r="BE511" s="448"/>
      <c r="BF511" s="449"/>
      <c r="BG511" s="450"/>
      <c r="BH511" s="445"/>
      <c r="BI511" s="491"/>
      <c r="BJ511" s="491">
        <v>5</v>
      </c>
      <c r="BK511" s="445" t="s">
        <v>3238</v>
      </c>
      <c r="BL511" s="445" t="s">
        <v>3239</v>
      </c>
      <c r="BM511" s="445"/>
      <c r="BN511" s="445"/>
      <c r="BO511" s="445"/>
      <c r="BP511" s="445"/>
      <c r="BQ511" s="445" t="s">
        <v>1269</v>
      </c>
      <c r="BR511" s="445">
        <v>2</v>
      </c>
      <c r="BS511" s="445"/>
      <c r="BT511" s="445"/>
      <c r="BU511" s="445"/>
      <c r="BV511" s="445"/>
      <c r="BW511" s="445" t="s">
        <v>2406</v>
      </c>
      <c r="BX511" s="445"/>
      <c r="BY511" s="445"/>
    </row>
    <row r="512" spans="1:77" ht="15">
      <c r="A512" s="370" t="s">
        <v>1269</v>
      </c>
      <c r="B512" s="415" t="s">
        <v>85</v>
      </c>
      <c r="C512" s="416" t="s">
        <v>2131</v>
      </c>
      <c r="D512" s="444">
        <v>0</v>
      </c>
      <c r="E512" s="415" t="s">
        <v>1749</v>
      </c>
      <c r="F512" s="444">
        <v>3</v>
      </c>
      <c r="G512" s="415" t="s">
        <v>1750</v>
      </c>
      <c r="H512" s="444">
        <v>10</v>
      </c>
      <c r="I512" s="417" t="s">
        <v>1687</v>
      </c>
      <c r="J512" s="444">
        <v>0.8</v>
      </c>
      <c r="K512" s="444">
        <v>147</v>
      </c>
      <c r="L512" s="444"/>
      <c r="M512" s="444">
        <v>39</v>
      </c>
      <c r="N512" s="444">
        <v>0</v>
      </c>
      <c r="O512" s="444"/>
      <c r="P512" s="444"/>
      <c r="Q512" s="444">
        <v>0</v>
      </c>
      <c r="R512" s="444">
        <v>0</v>
      </c>
      <c r="S512" s="444">
        <v>11</v>
      </c>
      <c r="T512" s="444">
        <v>0</v>
      </c>
      <c r="U512" s="444">
        <v>0</v>
      </c>
      <c r="V512" s="444">
        <v>10</v>
      </c>
      <c r="W512" s="444">
        <v>0</v>
      </c>
      <c r="X512" s="418"/>
      <c r="Y512" s="445"/>
      <c r="Z512" s="420"/>
      <c r="AA512" s="421">
        <v>51.637</v>
      </c>
      <c r="AB512" s="421"/>
      <c r="AC512" s="454">
        <v>9</v>
      </c>
      <c r="AE512" s="445" t="s">
        <v>2416</v>
      </c>
      <c r="AF512" s="454">
        <v>1</v>
      </c>
      <c r="AG512" s="441">
        <v>43101</v>
      </c>
      <c r="AJ512" s="442">
        <v>43313</v>
      </c>
      <c r="AL512" s="446" t="s">
        <v>910</v>
      </c>
      <c r="AO512" s="445"/>
      <c r="AP512" s="454">
        <v>556673</v>
      </c>
      <c r="AQ512" s="443">
        <v>43214</v>
      </c>
      <c r="AR512" s="370">
        <v>0.3</v>
      </c>
      <c r="AT512" s="447"/>
      <c r="AU512" s="447"/>
      <c r="AV512" s="447"/>
      <c r="AY512" s="427" t="s">
        <v>1717</v>
      </c>
      <c r="AZ512" s="373"/>
      <c r="BB512" s="374" t="s">
        <v>1727</v>
      </c>
      <c r="BC512" s="445"/>
      <c r="BE512" s="448"/>
      <c r="BF512" s="449"/>
      <c r="BG512" s="450"/>
      <c r="BH512" s="445"/>
      <c r="BI512" s="491"/>
      <c r="BJ512" s="491">
        <v>8</v>
      </c>
      <c r="BK512" s="445" t="s">
        <v>327</v>
      </c>
      <c r="BL512" s="445" t="s">
        <v>3240</v>
      </c>
      <c r="BM512" s="445"/>
      <c r="BN512" s="445"/>
      <c r="BO512" s="445"/>
      <c r="BP512" s="445"/>
      <c r="BQ512" s="445" t="s">
        <v>1269</v>
      </c>
      <c r="BR512" s="445">
        <v>2</v>
      </c>
      <c r="BS512" s="445"/>
      <c r="BT512" s="445"/>
      <c r="BU512" s="445"/>
      <c r="BV512" s="445"/>
      <c r="BW512" s="445" t="s">
        <v>2406</v>
      </c>
      <c r="BX512" s="445"/>
      <c r="BY512" s="445"/>
    </row>
    <row r="513" spans="1:77" ht="15">
      <c r="A513" s="370" t="s">
        <v>1269</v>
      </c>
      <c r="B513" s="415" t="s">
        <v>85</v>
      </c>
      <c r="C513" s="416" t="s">
        <v>1619</v>
      </c>
      <c r="D513" s="444">
        <v>0</v>
      </c>
      <c r="E513" s="415" t="s">
        <v>1749</v>
      </c>
      <c r="F513" s="444">
        <v>3</v>
      </c>
      <c r="G513" s="415" t="s">
        <v>1750</v>
      </c>
      <c r="H513" s="444">
        <v>97</v>
      </c>
      <c r="I513" s="417" t="s">
        <v>1684</v>
      </c>
      <c r="J513" s="444">
        <v>0.1</v>
      </c>
      <c r="K513" s="444">
        <v>217</v>
      </c>
      <c r="L513" s="444"/>
      <c r="M513" s="444">
        <v>29</v>
      </c>
      <c r="N513" s="444">
        <v>0</v>
      </c>
      <c r="O513" s="444"/>
      <c r="P513" s="444"/>
      <c r="Q513" s="444">
        <v>0</v>
      </c>
      <c r="R513" s="444">
        <v>0</v>
      </c>
      <c r="S513" s="444">
        <v>30</v>
      </c>
      <c r="T513" s="444">
        <v>0</v>
      </c>
      <c r="U513" s="444">
        <v>0</v>
      </c>
      <c r="V513" s="444">
        <v>33</v>
      </c>
      <c r="W513" s="444">
        <v>0</v>
      </c>
      <c r="X513" s="418"/>
      <c r="Y513" s="445"/>
      <c r="Z513" s="420"/>
      <c r="AA513" s="421">
        <v>78.78</v>
      </c>
      <c r="AB513" s="421"/>
      <c r="AC513" s="454">
        <v>13</v>
      </c>
      <c r="AE513" s="445" t="s">
        <v>2417</v>
      </c>
      <c r="AF513" s="454">
        <v>1</v>
      </c>
      <c r="AG513" s="441">
        <v>43101</v>
      </c>
      <c r="AJ513" s="442">
        <v>43313</v>
      </c>
      <c r="AL513" s="446" t="s">
        <v>1713</v>
      </c>
      <c r="AO513" s="445"/>
      <c r="AP513" s="454">
        <v>556674</v>
      </c>
      <c r="AQ513" s="443">
        <v>43214</v>
      </c>
      <c r="AR513" s="370">
        <v>0.3</v>
      </c>
      <c r="AT513" s="447"/>
      <c r="AU513" s="447"/>
      <c r="AV513" s="447"/>
      <c r="AY513" s="427" t="s">
        <v>1717</v>
      </c>
      <c r="AZ513" s="373"/>
      <c r="BB513" s="374" t="s">
        <v>1727</v>
      </c>
      <c r="BC513" s="445"/>
      <c r="BE513" s="448"/>
      <c r="BF513" s="449"/>
      <c r="BG513" s="450"/>
      <c r="BH513" s="445"/>
      <c r="BI513" s="491"/>
      <c r="BJ513" s="491">
        <v>1</v>
      </c>
      <c r="BK513" s="445" t="s">
        <v>1819</v>
      </c>
      <c r="BL513" s="445" t="s">
        <v>3241</v>
      </c>
      <c r="BM513" s="445"/>
      <c r="BN513" s="445"/>
      <c r="BO513" s="445"/>
      <c r="BP513" s="445"/>
      <c r="BQ513" s="445" t="s">
        <v>1269</v>
      </c>
      <c r="BR513" s="445">
        <v>2</v>
      </c>
      <c r="BS513" s="445"/>
      <c r="BT513" s="445"/>
      <c r="BU513" s="445"/>
      <c r="BV513" s="445"/>
      <c r="BW513" s="445" t="s">
        <v>2406</v>
      </c>
      <c r="BX513" s="445"/>
      <c r="BY513" s="445"/>
    </row>
    <row r="514" spans="1:77" ht="15">
      <c r="A514" s="370" t="s">
        <v>1269</v>
      </c>
      <c r="B514" s="415" t="s">
        <v>132</v>
      </c>
      <c r="C514" s="416" t="s">
        <v>1682</v>
      </c>
      <c r="D514" s="444">
        <v>0</v>
      </c>
      <c r="E514" s="415" t="s">
        <v>1749</v>
      </c>
      <c r="F514" s="444">
        <v>3</v>
      </c>
      <c r="G514" s="415" t="s">
        <v>1750</v>
      </c>
      <c r="H514" s="444">
        <v>17</v>
      </c>
      <c r="I514" s="417" t="s">
        <v>1632</v>
      </c>
      <c r="J514" s="444">
        <v>5.5</v>
      </c>
      <c r="K514" s="444">
        <v>189</v>
      </c>
      <c r="L514" s="444"/>
      <c r="M514" s="444">
        <v>0</v>
      </c>
      <c r="N514" s="444">
        <v>8</v>
      </c>
      <c r="O514" s="444"/>
      <c r="P514" s="444"/>
      <c r="Q514" s="444">
        <v>0</v>
      </c>
      <c r="R514" s="444">
        <v>0</v>
      </c>
      <c r="S514" s="444">
        <v>0</v>
      </c>
      <c r="T514" s="444">
        <v>0</v>
      </c>
      <c r="U514" s="444">
        <v>0</v>
      </c>
      <c r="V514" s="444">
        <v>0</v>
      </c>
      <c r="W514" s="444">
        <v>59</v>
      </c>
      <c r="X514" s="418"/>
      <c r="Y514" s="445"/>
      <c r="Z514" s="420"/>
      <c r="AA514" s="421">
        <v>95.158000000000001</v>
      </c>
      <c r="AB514" s="421"/>
      <c r="AC514" s="454">
        <v>5</v>
      </c>
      <c r="AE514" s="445" t="s">
        <v>2418</v>
      </c>
      <c r="AF514" s="454">
        <v>1</v>
      </c>
      <c r="AG514" s="441">
        <v>43101</v>
      </c>
      <c r="AJ514" s="442">
        <v>43333</v>
      </c>
      <c r="AL514" s="446" t="s">
        <v>911</v>
      </c>
      <c r="AO514" s="445"/>
      <c r="AP514" s="454">
        <v>556679</v>
      </c>
      <c r="AQ514" s="443">
        <v>43333</v>
      </c>
      <c r="AR514" s="370">
        <v>0.3</v>
      </c>
      <c r="AT514" s="447"/>
      <c r="AU514" s="447"/>
      <c r="AV514" s="447"/>
      <c r="AY514" s="427" t="s">
        <v>1559</v>
      </c>
      <c r="AZ514" s="373"/>
      <c r="BB514" s="374" t="s">
        <v>2214</v>
      </c>
      <c r="BC514" s="445"/>
      <c r="BE514" s="448"/>
      <c r="BF514" s="449"/>
      <c r="BG514" s="450"/>
      <c r="BH514" s="445"/>
      <c r="BI514" s="491"/>
      <c r="BJ514" s="491">
        <v>5</v>
      </c>
      <c r="BK514" s="445" t="s">
        <v>2810</v>
      </c>
      <c r="BL514" s="445" t="s">
        <v>3242</v>
      </c>
      <c r="BM514" s="445"/>
      <c r="BN514" s="445"/>
      <c r="BO514" s="445"/>
      <c r="BP514" s="445"/>
      <c r="BQ514" s="445" t="s">
        <v>1269</v>
      </c>
      <c r="BR514" s="445">
        <v>2</v>
      </c>
      <c r="BS514" s="445"/>
      <c r="BT514" s="445"/>
      <c r="BU514" s="445"/>
      <c r="BV514" s="445"/>
      <c r="BW514" s="445" t="s">
        <v>2406</v>
      </c>
      <c r="BX514" s="445"/>
      <c r="BY514" s="445"/>
    </row>
    <row r="515" spans="1:77" ht="15">
      <c r="A515" s="370" t="s">
        <v>1269</v>
      </c>
      <c r="B515" s="415" t="s">
        <v>296</v>
      </c>
      <c r="C515" s="416" t="s">
        <v>1619</v>
      </c>
      <c r="D515" s="444">
        <v>0</v>
      </c>
      <c r="E515" s="415" t="s">
        <v>1749</v>
      </c>
      <c r="F515" s="444">
        <v>3</v>
      </c>
      <c r="G515" s="415" t="s">
        <v>1750</v>
      </c>
      <c r="H515" s="444">
        <v>123</v>
      </c>
      <c r="I515" s="417" t="s">
        <v>1422</v>
      </c>
      <c r="J515" s="444">
        <v>0.1</v>
      </c>
      <c r="K515" s="444">
        <v>179</v>
      </c>
      <c r="L515" s="444"/>
      <c r="M515" s="444">
        <v>0</v>
      </c>
      <c r="N515" s="444">
        <v>4</v>
      </c>
      <c r="O515" s="444"/>
      <c r="P515" s="444"/>
      <c r="Q515" s="444">
        <v>0</v>
      </c>
      <c r="R515" s="444">
        <v>0</v>
      </c>
      <c r="S515" s="444">
        <v>0</v>
      </c>
      <c r="T515" s="444">
        <v>0</v>
      </c>
      <c r="U515" s="444">
        <v>1</v>
      </c>
      <c r="V515" s="444">
        <v>1</v>
      </c>
      <c r="W515" s="444">
        <v>62</v>
      </c>
      <c r="X515" s="418"/>
      <c r="Y515" s="445"/>
      <c r="Z515" s="420"/>
      <c r="AA515" s="421">
        <v>82.11</v>
      </c>
      <c r="AB515" s="421"/>
      <c r="AC515" s="454">
        <v>5</v>
      </c>
      <c r="AE515" s="445" t="s">
        <v>2419</v>
      </c>
      <c r="AF515" s="454">
        <v>1</v>
      </c>
      <c r="AG515" s="441">
        <v>43101</v>
      </c>
      <c r="AJ515" s="442">
        <v>43333</v>
      </c>
      <c r="AL515" s="446" t="s">
        <v>1976</v>
      </c>
      <c r="AO515" s="445"/>
      <c r="AP515" s="454">
        <v>556677</v>
      </c>
      <c r="AQ515" s="443">
        <v>43333</v>
      </c>
      <c r="AR515" s="370">
        <v>0.3</v>
      </c>
      <c r="AT515" s="447"/>
      <c r="AU515" s="447"/>
      <c r="AV515" s="447"/>
      <c r="AY515" s="427" t="s">
        <v>1722</v>
      </c>
      <c r="AZ515" s="373"/>
      <c r="BB515" s="374" t="s">
        <v>1728</v>
      </c>
      <c r="BC515" s="445"/>
      <c r="BE515" s="448"/>
      <c r="BF515" s="449"/>
      <c r="BG515" s="450"/>
      <c r="BH515" s="445"/>
      <c r="BI515" s="491"/>
      <c r="BJ515" s="491">
        <v>1</v>
      </c>
      <c r="BK515" s="445" t="s">
        <v>3243</v>
      </c>
      <c r="BL515" s="445" t="s">
        <v>3244</v>
      </c>
      <c r="BM515" s="445"/>
      <c r="BN515" s="445"/>
      <c r="BO515" s="445"/>
      <c r="BP515" s="445"/>
      <c r="BQ515" s="445" t="s">
        <v>1269</v>
      </c>
      <c r="BR515" s="445">
        <v>2</v>
      </c>
      <c r="BS515" s="445"/>
      <c r="BT515" s="445"/>
      <c r="BU515" s="445"/>
      <c r="BV515" s="445"/>
      <c r="BW515" s="445" t="s">
        <v>2406</v>
      </c>
      <c r="BX515" s="445"/>
      <c r="BY515" s="445"/>
    </row>
    <row r="516" spans="1:77" ht="15">
      <c r="A516" s="370" t="s">
        <v>1269</v>
      </c>
      <c r="B516" s="415" t="s">
        <v>296</v>
      </c>
      <c r="C516" s="416" t="s">
        <v>1682</v>
      </c>
      <c r="D516" s="444">
        <v>0</v>
      </c>
      <c r="E516" s="415" t="s">
        <v>1749</v>
      </c>
      <c r="F516" s="444">
        <v>3</v>
      </c>
      <c r="G516" s="415" t="s">
        <v>1750</v>
      </c>
      <c r="H516" s="444">
        <v>124</v>
      </c>
      <c r="I516" s="417" t="s">
        <v>1692</v>
      </c>
      <c r="J516" s="444">
        <v>20</v>
      </c>
      <c r="K516" s="444">
        <v>1401</v>
      </c>
      <c r="L516" s="444"/>
      <c r="M516" s="444">
        <v>0</v>
      </c>
      <c r="N516" s="444">
        <v>54</v>
      </c>
      <c r="O516" s="444"/>
      <c r="P516" s="444"/>
      <c r="Q516" s="444">
        <v>0</v>
      </c>
      <c r="R516" s="444">
        <v>0</v>
      </c>
      <c r="S516" s="444">
        <v>0</v>
      </c>
      <c r="T516" s="444">
        <v>0</v>
      </c>
      <c r="U516" s="444">
        <v>93</v>
      </c>
      <c r="V516" s="444">
        <v>4</v>
      </c>
      <c r="W516" s="444">
        <v>488</v>
      </c>
      <c r="X516" s="418"/>
      <c r="Y516" s="445"/>
      <c r="Z516" s="420"/>
      <c r="AA516" s="421">
        <v>78.290000000000006</v>
      </c>
      <c r="AB516" s="421"/>
      <c r="AC516" s="454">
        <v>54</v>
      </c>
      <c r="AE516" s="445" t="s">
        <v>2419</v>
      </c>
      <c r="AF516" s="454">
        <v>1</v>
      </c>
      <c r="AG516" s="441">
        <v>43101</v>
      </c>
      <c r="AJ516" s="442">
        <v>43333</v>
      </c>
      <c r="AL516" s="446" t="s">
        <v>1689</v>
      </c>
      <c r="AO516" s="445"/>
      <c r="AP516" s="454">
        <v>556678</v>
      </c>
      <c r="AQ516" s="443">
        <v>43333</v>
      </c>
      <c r="AR516" s="370">
        <v>0.3</v>
      </c>
      <c r="AT516" s="447"/>
      <c r="AU516" s="447"/>
      <c r="AV516" s="447"/>
      <c r="AY516" s="427" t="s">
        <v>1722</v>
      </c>
      <c r="AZ516" s="373"/>
      <c r="BB516" s="374" t="s">
        <v>1728</v>
      </c>
      <c r="BC516" s="445"/>
      <c r="BE516" s="448"/>
      <c r="BF516" s="449"/>
      <c r="BG516" s="450"/>
      <c r="BH516" s="445"/>
      <c r="BI516" s="491"/>
      <c r="BJ516" s="491">
        <v>2</v>
      </c>
      <c r="BK516" s="445" t="s">
        <v>3245</v>
      </c>
      <c r="BL516" s="445" t="s">
        <v>3246</v>
      </c>
      <c r="BM516" s="445"/>
      <c r="BN516" s="445"/>
      <c r="BO516" s="445"/>
      <c r="BP516" s="445"/>
      <c r="BQ516" s="445" t="s">
        <v>1269</v>
      </c>
      <c r="BR516" s="445">
        <v>2</v>
      </c>
      <c r="BS516" s="445"/>
      <c r="BT516" s="445"/>
      <c r="BU516" s="445"/>
      <c r="BV516" s="445"/>
      <c r="BW516" s="445" t="s">
        <v>2406</v>
      </c>
      <c r="BX516" s="445"/>
      <c r="BY516" s="445"/>
    </row>
    <row r="517" spans="1:77" ht="15">
      <c r="A517" s="370" t="s">
        <v>1269</v>
      </c>
      <c r="B517" s="415" t="s">
        <v>296</v>
      </c>
      <c r="C517" s="416" t="s">
        <v>1682</v>
      </c>
      <c r="D517" s="444">
        <v>0</v>
      </c>
      <c r="E517" s="415" t="s">
        <v>1749</v>
      </c>
      <c r="F517" s="444">
        <v>3</v>
      </c>
      <c r="G517" s="415" t="s">
        <v>1750</v>
      </c>
      <c r="H517" s="444">
        <v>152</v>
      </c>
      <c r="I517" s="417" t="s">
        <v>1433</v>
      </c>
      <c r="J517" s="444">
        <v>0.1</v>
      </c>
      <c r="K517" s="444">
        <v>82</v>
      </c>
      <c r="L517" s="444"/>
      <c r="M517" s="444">
        <v>0</v>
      </c>
      <c r="N517" s="444">
        <v>0</v>
      </c>
      <c r="O517" s="444"/>
      <c r="P517" s="444"/>
      <c r="Q517" s="444">
        <v>0</v>
      </c>
      <c r="R517" s="444">
        <v>0</v>
      </c>
      <c r="S517" s="444">
        <v>0</v>
      </c>
      <c r="T517" s="444">
        <v>0</v>
      </c>
      <c r="U517" s="444">
        <v>0</v>
      </c>
      <c r="V517" s="444">
        <v>0</v>
      </c>
      <c r="W517" s="444">
        <v>27</v>
      </c>
      <c r="X517" s="418"/>
      <c r="Y517" s="445"/>
      <c r="Z517" s="420"/>
      <c r="AA517" s="421">
        <v>87.906999999999996</v>
      </c>
      <c r="AB517" s="421"/>
      <c r="AC517" s="454">
        <v>5</v>
      </c>
      <c r="AE517" s="445" t="s">
        <v>2420</v>
      </c>
      <c r="AF517" s="454">
        <v>1</v>
      </c>
      <c r="AG517" s="441">
        <v>43101</v>
      </c>
      <c r="AJ517" s="442">
        <v>43333</v>
      </c>
      <c r="AL517" s="446" t="s">
        <v>925</v>
      </c>
      <c r="AO517" s="445"/>
      <c r="AP517" s="454">
        <v>556678</v>
      </c>
      <c r="AQ517" s="443">
        <v>43333</v>
      </c>
      <c r="AR517" s="370">
        <v>0.3</v>
      </c>
      <c r="AT517" s="447"/>
      <c r="AU517" s="447"/>
      <c r="AV517" s="447"/>
      <c r="AY517" s="427" t="s">
        <v>1722</v>
      </c>
      <c r="AZ517" s="373"/>
      <c r="BB517" s="374" t="s">
        <v>1728</v>
      </c>
      <c r="BC517" s="445"/>
      <c r="BE517" s="448"/>
      <c r="BF517" s="449"/>
      <c r="BG517" s="450"/>
      <c r="BH517" s="445"/>
      <c r="BI517" s="491"/>
      <c r="BJ517" s="491">
        <v>3</v>
      </c>
      <c r="BK517" s="445" t="s">
        <v>3247</v>
      </c>
      <c r="BL517" s="445" t="s">
        <v>3248</v>
      </c>
      <c r="BM517" s="445"/>
      <c r="BN517" s="445"/>
      <c r="BO517" s="445"/>
      <c r="BP517" s="445"/>
      <c r="BQ517" s="445" t="s">
        <v>1269</v>
      </c>
      <c r="BR517" s="445">
        <v>2</v>
      </c>
      <c r="BS517" s="445"/>
      <c r="BT517" s="445"/>
      <c r="BU517" s="445"/>
      <c r="BV517" s="445"/>
      <c r="BW517" s="445" t="s">
        <v>2406</v>
      </c>
      <c r="BX517" s="445"/>
      <c r="BY517" s="445"/>
    </row>
    <row r="518" spans="1:77" ht="15">
      <c r="A518" s="370" t="s">
        <v>1269</v>
      </c>
      <c r="B518" s="415" t="s">
        <v>296</v>
      </c>
      <c r="C518" s="416" t="s">
        <v>1682</v>
      </c>
      <c r="D518" s="444">
        <v>0</v>
      </c>
      <c r="E518" s="415" t="s">
        <v>1749</v>
      </c>
      <c r="F518" s="444">
        <v>3</v>
      </c>
      <c r="G518" s="415" t="s">
        <v>1750</v>
      </c>
      <c r="H518" s="444">
        <v>152</v>
      </c>
      <c r="I518" s="417" t="s">
        <v>2007</v>
      </c>
      <c r="J518" s="444">
        <v>3.4</v>
      </c>
      <c r="K518" s="444">
        <v>165</v>
      </c>
      <c r="L518" s="444"/>
      <c r="M518" s="444">
        <v>0</v>
      </c>
      <c r="N518" s="444">
        <v>0</v>
      </c>
      <c r="O518" s="444"/>
      <c r="P518" s="444"/>
      <c r="Q518" s="444">
        <v>0</v>
      </c>
      <c r="R518" s="444">
        <v>0</v>
      </c>
      <c r="S518" s="444">
        <v>0</v>
      </c>
      <c r="T518" s="444">
        <v>0</v>
      </c>
      <c r="U518" s="444">
        <v>0</v>
      </c>
      <c r="V518" s="444">
        <v>0</v>
      </c>
      <c r="W518" s="444">
        <v>41</v>
      </c>
      <c r="X518" s="418"/>
      <c r="Y518" s="445"/>
      <c r="Z518" s="420"/>
      <c r="AA518" s="421">
        <v>110.593</v>
      </c>
      <c r="AB518" s="421"/>
      <c r="AC518" s="454">
        <v>5</v>
      </c>
      <c r="AE518" s="445" t="s">
        <v>2421</v>
      </c>
      <c r="AF518" s="454">
        <v>1</v>
      </c>
      <c r="AG518" s="441">
        <v>43101</v>
      </c>
      <c r="AJ518" s="442">
        <v>43333</v>
      </c>
      <c r="AL518" s="446" t="s">
        <v>925</v>
      </c>
      <c r="AO518" s="445"/>
      <c r="AP518" s="454">
        <v>556678</v>
      </c>
      <c r="AQ518" s="443">
        <v>43333</v>
      </c>
      <c r="AR518" s="370">
        <v>0.3</v>
      </c>
      <c r="AT518" s="447"/>
      <c r="AU518" s="447"/>
      <c r="AV518" s="447"/>
      <c r="AY518" s="427" t="s">
        <v>1722</v>
      </c>
      <c r="AZ518" s="373"/>
      <c r="BB518" s="374" t="s">
        <v>1728</v>
      </c>
      <c r="BC518" s="445"/>
      <c r="BE518" s="448"/>
      <c r="BF518" s="449"/>
      <c r="BG518" s="450"/>
      <c r="BH518" s="445"/>
      <c r="BI518" s="491"/>
      <c r="BJ518" s="491">
        <v>4</v>
      </c>
      <c r="BK518" s="445" t="s">
        <v>3249</v>
      </c>
      <c r="BL518" s="445" t="s">
        <v>3250</v>
      </c>
      <c r="BM518" s="445"/>
      <c r="BN518" s="445"/>
      <c r="BO518" s="445"/>
      <c r="BP518" s="445"/>
      <c r="BQ518" s="445" t="s">
        <v>1269</v>
      </c>
      <c r="BR518" s="445">
        <v>2</v>
      </c>
      <c r="BS518" s="445"/>
      <c r="BT518" s="445"/>
      <c r="BU518" s="445"/>
      <c r="BV518" s="445"/>
      <c r="BW518" s="445" t="s">
        <v>2406</v>
      </c>
      <c r="BX518" s="445"/>
      <c r="BY518" s="445"/>
    </row>
    <row r="519" spans="1:77" ht="15">
      <c r="A519" s="370" t="s">
        <v>1269</v>
      </c>
      <c r="B519" s="415" t="s">
        <v>296</v>
      </c>
      <c r="C519" s="416" t="s">
        <v>1682</v>
      </c>
      <c r="D519" s="444">
        <v>0</v>
      </c>
      <c r="E519" s="415" t="s">
        <v>1749</v>
      </c>
      <c r="F519" s="444">
        <v>3</v>
      </c>
      <c r="G519" s="415" t="s">
        <v>1750</v>
      </c>
      <c r="H519" s="444">
        <v>172</v>
      </c>
      <c r="I519" s="417" t="s">
        <v>1683</v>
      </c>
      <c r="J519" s="444">
        <v>7.8</v>
      </c>
      <c r="K519" s="444">
        <v>1005</v>
      </c>
      <c r="L519" s="444"/>
      <c r="M519" s="444">
        <v>0</v>
      </c>
      <c r="N519" s="444">
        <v>2</v>
      </c>
      <c r="O519" s="444"/>
      <c r="P519" s="444"/>
      <c r="Q519" s="444">
        <v>0</v>
      </c>
      <c r="R519" s="444">
        <v>0</v>
      </c>
      <c r="S519" s="444">
        <v>0</v>
      </c>
      <c r="T519" s="444">
        <v>0</v>
      </c>
      <c r="U519" s="444">
        <v>0</v>
      </c>
      <c r="V519" s="444">
        <v>6</v>
      </c>
      <c r="W519" s="444">
        <v>276</v>
      </c>
      <c r="X519" s="418"/>
      <c r="Y519" s="445"/>
      <c r="Z519" s="420"/>
      <c r="AA519" s="421">
        <v>92.108999999999995</v>
      </c>
      <c r="AB519" s="421"/>
      <c r="AC519" s="454">
        <v>39</v>
      </c>
      <c r="AE519" s="445" t="s">
        <v>2422</v>
      </c>
      <c r="AF519" s="454">
        <v>1</v>
      </c>
      <c r="AG519" s="441">
        <v>43101</v>
      </c>
      <c r="AJ519" s="442">
        <v>43333</v>
      </c>
      <c r="AL519" s="446" t="s">
        <v>1027</v>
      </c>
      <c r="AO519" s="445"/>
      <c r="AP519" s="454">
        <v>556678</v>
      </c>
      <c r="AQ519" s="443">
        <v>43333</v>
      </c>
      <c r="AR519" s="370">
        <v>0.3</v>
      </c>
      <c r="AT519" s="447"/>
      <c r="AU519" s="447"/>
      <c r="AV519" s="447"/>
      <c r="AY519" s="427" t="s">
        <v>1722</v>
      </c>
      <c r="AZ519" s="373"/>
      <c r="BB519" s="374" t="s">
        <v>1728</v>
      </c>
      <c r="BC519" s="445"/>
      <c r="BE519" s="448"/>
      <c r="BF519" s="449"/>
      <c r="BG519" s="450"/>
      <c r="BH519" s="445"/>
      <c r="BI519" s="491"/>
      <c r="BJ519" s="491">
        <v>5</v>
      </c>
      <c r="BK519" s="445" t="s">
        <v>3251</v>
      </c>
      <c r="BL519" s="445" t="s">
        <v>3252</v>
      </c>
      <c r="BM519" s="445"/>
      <c r="BN519" s="445"/>
      <c r="BO519" s="445"/>
      <c r="BP519" s="445"/>
      <c r="BQ519" s="445" t="s">
        <v>1269</v>
      </c>
      <c r="BR519" s="445">
        <v>2</v>
      </c>
      <c r="BS519" s="445"/>
      <c r="BT519" s="445"/>
      <c r="BU519" s="445"/>
      <c r="BV519" s="445"/>
      <c r="BW519" s="445" t="s">
        <v>2406</v>
      </c>
      <c r="BX519" s="445"/>
      <c r="BY519" s="445"/>
    </row>
    <row r="520" spans="1:77" ht="15">
      <c r="A520" s="370" t="s">
        <v>1783</v>
      </c>
      <c r="B520" s="415" t="s">
        <v>296</v>
      </c>
      <c r="C520" s="416" t="s">
        <v>2093</v>
      </c>
      <c r="D520" s="444">
        <v>0</v>
      </c>
      <c r="E520" s="415" t="s">
        <v>1749</v>
      </c>
      <c r="F520" s="444">
        <v>3</v>
      </c>
      <c r="G520" s="415" t="s">
        <v>1750</v>
      </c>
      <c r="H520" s="444">
        <v>32</v>
      </c>
      <c r="I520" s="417" t="s">
        <v>2423</v>
      </c>
      <c r="J520" s="444">
        <v>0.5</v>
      </c>
      <c r="K520" s="444">
        <v>0</v>
      </c>
      <c r="L520" s="444"/>
      <c r="M520" s="444">
        <v>0</v>
      </c>
      <c r="N520" s="444">
        <v>30</v>
      </c>
      <c r="O520" s="444"/>
      <c r="P520" s="444"/>
      <c r="Q520" s="444">
        <v>0</v>
      </c>
      <c r="R520" s="444"/>
      <c r="S520" s="444">
        <v>0</v>
      </c>
      <c r="T520" s="444">
        <v>0</v>
      </c>
      <c r="U520" s="444"/>
      <c r="V520" s="444">
        <v>0</v>
      </c>
      <c r="W520" s="444">
        <v>0</v>
      </c>
      <c r="X520" s="418"/>
      <c r="Y520" s="445"/>
      <c r="Z520" s="420"/>
      <c r="AA520" s="421">
        <v>229.39</v>
      </c>
      <c r="AB520" s="421"/>
      <c r="AC520" s="454">
        <v>23</v>
      </c>
      <c r="AE520" s="445" t="s">
        <v>2424</v>
      </c>
      <c r="AF520" s="454">
        <v>1</v>
      </c>
      <c r="AG520" s="441">
        <v>43101</v>
      </c>
      <c r="AJ520" s="442">
        <v>43321</v>
      </c>
      <c r="AL520" s="446" t="s">
        <v>933</v>
      </c>
      <c r="AO520" s="445"/>
      <c r="AP520" s="454">
        <v>556717</v>
      </c>
      <c r="AQ520" s="443">
        <v>43321</v>
      </c>
      <c r="AR520" s="370">
        <v>0.3</v>
      </c>
      <c r="AT520" s="447"/>
      <c r="AU520" s="447"/>
      <c r="AV520" s="447"/>
      <c r="AY520" s="427" t="s">
        <v>1722</v>
      </c>
      <c r="AZ520" s="373"/>
      <c r="BB520" s="374" t="s">
        <v>1728</v>
      </c>
      <c r="BC520" s="445"/>
      <c r="BE520" s="448"/>
      <c r="BF520" s="449"/>
      <c r="BG520" s="450"/>
      <c r="BH520" s="445"/>
      <c r="BI520" s="491"/>
      <c r="BJ520" s="491">
        <v>6</v>
      </c>
      <c r="BK520" s="445" t="s">
        <v>3253</v>
      </c>
      <c r="BL520" s="445" t="s">
        <v>3254</v>
      </c>
      <c r="BM520" s="445"/>
      <c r="BN520" s="445"/>
      <c r="BO520" s="445"/>
      <c r="BP520" s="445"/>
      <c r="BQ520" s="445" t="s">
        <v>1783</v>
      </c>
      <c r="BR520" s="445">
        <v>2</v>
      </c>
      <c r="BS520" s="445"/>
      <c r="BT520" s="445"/>
      <c r="BU520" s="445"/>
      <c r="BV520" s="445"/>
      <c r="BW520" s="445" t="s">
        <v>2406</v>
      </c>
      <c r="BX520" s="445"/>
      <c r="BY520" s="445"/>
    </row>
    <row r="521" spans="1:77" ht="15">
      <c r="A521" s="370" t="s">
        <v>1783</v>
      </c>
      <c r="B521" s="415" t="s">
        <v>296</v>
      </c>
      <c r="C521" s="416" t="s">
        <v>2093</v>
      </c>
      <c r="D521" s="444">
        <v>0</v>
      </c>
      <c r="E521" s="415" t="s">
        <v>1749</v>
      </c>
      <c r="F521" s="444">
        <v>3</v>
      </c>
      <c r="G521" s="415" t="s">
        <v>1750</v>
      </c>
      <c r="H521" s="444">
        <v>32</v>
      </c>
      <c r="I521" s="417" t="s">
        <v>2425</v>
      </c>
      <c r="J521" s="444">
        <v>0.9</v>
      </c>
      <c r="K521" s="444">
        <v>0</v>
      </c>
      <c r="L521" s="444"/>
      <c r="M521" s="444">
        <v>0</v>
      </c>
      <c r="N521" s="444">
        <v>30</v>
      </c>
      <c r="O521" s="444"/>
      <c r="P521" s="444"/>
      <c r="Q521" s="444">
        <v>0</v>
      </c>
      <c r="R521" s="444"/>
      <c r="S521" s="444">
        <v>0</v>
      </c>
      <c r="T521" s="444">
        <v>0</v>
      </c>
      <c r="U521" s="444"/>
      <c r="V521" s="444">
        <v>0</v>
      </c>
      <c r="W521" s="444">
        <v>0</v>
      </c>
      <c r="X521" s="418"/>
      <c r="Y521" s="445"/>
      <c r="Z521" s="420"/>
      <c r="AA521" s="421">
        <v>261.79000000000002</v>
      </c>
      <c r="AB521" s="421"/>
      <c r="AC521" s="454">
        <v>23</v>
      </c>
      <c r="AE521" s="445" t="s">
        <v>2426</v>
      </c>
      <c r="AF521" s="454">
        <v>1</v>
      </c>
      <c r="AG521" s="441">
        <v>43101</v>
      </c>
      <c r="AJ521" s="442">
        <v>43321</v>
      </c>
      <c r="AL521" s="446" t="s">
        <v>933</v>
      </c>
      <c r="AO521" s="445"/>
      <c r="AP521" s="454">
        <v>556717</v>
      </c>
      <c r="AQ521" s="443">
        <v>43321</v>
      </c>
      <c r="AR521" s="370">
        <v>0.3</v>
      </c>
      <c r="AT521" s="447"/>
      <c r="AU521" s="447"/>
      <c r="AV521" s="447"/>
      <c r="AY521" s="427" t="s">
        <v>1722</v>
      </c>
      <c r="AZ521" s="373"/>
      <c r="BB521" s="374" t="s">
        <v>1728</v>
      </c>
      <c r="BC521" s="445"/>
      <c r="BE521" s="448"/>
      <c r="BF521" s="449"/>
      <c r="BG521" s="450"/>
      <c r="BH521" s="445"/>
      <c r="BI521" s="491"/>
      <c r="BJ521" s="491">
        <v>7</v>
      </c>
      <c r="BK521" s="445" t="s">
        <v>3255</v>
      </c>
      <c r="BL521" s="445" t="s">
        <v>3256</v>
      </c>
      <c r="BM521" s="445"/>
      <c r="BN521" s="445"/>
      <c r="BO521" s="445"/>
      <c r="BP521" s="445"/>
      <c r="BQ521" s="445" t="s">
        <v>1783</v>
      </c>
      <c r="BR521" s="445">
        <v>2</v>
      </c>
      <c r="BS521" s="445"/>
      <c r="BT521" s="445"/>
      <c r="BU521" s="445"/>
      <c r="BV521" s="445"/>
      <c r="BW521" s="445" t="s">
        <v>2406</v>
      </c>
      <c r="BX521" s="445"/>
      <c r="BY521" s="445"/>
    </row>
    <row r="522" spans="1:77" ht="15">
      <c r="A522" s="370" t="s">
        <v>1783</v>
      </c>
      <c r="B522" s="415" t="s">
        <v>296</v>
      </c>
      <c r="C522" s="416" t="s">
        <v>2093</v>
      </c>
      <c r="D522" s="444">
        <v>0</v>
      </c>
      <c r="E522" s="415" t="s">
        <v>1749</v>
      </c>
      <c r="F522" s="444">
        <v>3</v>
      </c>
      <c r="G522" s="415" t="s">
        <v>1750</v>
      </c>
      <c r="H522" s="444">
        <v>10</v>
      </c>
      <c r="I522" s="417" t="s">
        <v>1664</v>
      </c>
      <c r="J522" s="444">
        <v>3.5</v>
      </c>
      <c r="K522" s="444">
        <v>0</v>
      </c>
      <c r="L522" s="444"/>
      <c r="M522" s="444">
        <v>0</v>
      </c>
      <c r="N522" s="444">
        <v>110</v>
      </c>
      <c r="O522" s="444"/>
      <c r="P522" s="444"/>
      <c r="Q522" s="444">
        <v>0</v>
      </c>
      <c r="R522" s="444"/>
      <c r="S522" s="444">
        <v>0</v>
      </c>
      <c r="T522" s="444">
        <v>0</v>
      </c>
      <c r="U522" s="444"/>
      <c r="V522" s="444">
        <v>0</v>
      </c>
      <c r="W522" s="444">
        <v>0</v>
      </c>
      <c r="X522" s="418"/>
      <c r="Y522" s="445"/>
      <c r="Z522" s="420"/>
      <c r="AA522" s="421">
        <v>261.73</v>
      </c>
      <c r="AB522" s="421"/>
      <c r="AC522" s="454">
        <v>23</v>
      </c>
      <c r="AE522" s="445" t="s">
        <v>2427</v>
      </c>
      <c r="AF522" s="454">
        <v>1</v>
      </c>
      <c r="AG522" s="441">
        <v>43101</v>
      </c>
      <c r="AJ522" s="442">
        <v>43321</v>
      </c>
      <c r="AL522" s="446" t="s">
        <v>1024</v>
      </c>
      <c r="AO522" s="445"/>
      <c r="AP522" s="454">
        <v>556717</v>
      </c>
      <c r="AQ522" s="443">
        <v>43321</v>
      </c>
      <c r="AR522" s="370">
        <v>0.3</v>
      </c>
      <c r="AT522" s="447"/>
      <c r="AU522" s="447"/>
      <c r="AV522" s="447"/>
      <c r="AY522" s="427" t="s">
        <v>1722</v>
      </c>
      <c r="AZ522" s="373"/>
      <c r="BB522" s="374" t="s">
        <v>1728</v>
      </c>
      <c r="BC522" s="445"/>
      <c r="BE522" s="448"/>
      <c r="BF522" s="449"/>
      <c r="BG522" s="450"/>
      <c r="BH522" s="445"/>
      <c r="BI522" s="491"/>
      <c r="BJ522" s="491">
        <v>8</v>
      </c>
      <c r="BK522" s="445" t="s">
        <v>3257</v>
      </c>
      <c r="BL522" s="445" t="s">
        <v>3258</v>
      </c>
      <c r="BM522" s="445"/>
      <c r="BN522" s="445"/>
      <c r="BO522" s="445"/>
      <c r="BP522" s="445"/>
      <c r="BQ522" s="445" t="s">
        <v>1783</v>
      </c>
      <c r="BR522" s="445">
        <v>2</v>
      </c>
      <c r="BS522" s="445"/>
      <c r="BT522" s="445"/>
      <c r="BU522" s="445"/>
      <c r="BV522" s="445"/>
      <c r="BW522" s="445" t="s">
        <v>2406</v>
      </c>
      <c r="BX522" s="445"/>
      <c r="BY522" s="445"/>
    </row>
    <row r="523" spans="1:77" ht="15">
      <c r="A523" s="370" t="s">
        <v>1783</v>
      </c>
      <c r="B523" s="415" t="s">
        <v>296</v>
      </c>
      <c r="C523" s="416" t="s">
        <v>2093</v>
      </c>
      <c r="D523" s="444">
        <v>0</v>
      </c>
      <c r="E523" s="415" t="s">
        <v>1749</v>
      </c>
      <c r="F523" s="444">
        <v>3</v>
      </c>
      <c r="G523" s="415" t="s">
        <v>1750</v>
      </c>
      <c r="H523" s="444">
        <v>157</v>
      </c>
      <c r="I523" s="417" t="s">
        <v>2428</v>
      </c>
      <c r="J523" s="444">
        <v>1.6</v>
      </c>
      <c r="K523" s="444">
        <v>0</v>
      </c>
      <c r="L523" s="444"/>
      <c r="M523" s="444">
        <v>0</v>
      </c>
      <c r="N523" s="444">
        <v>70</v>
      </c>
      <c r="O523" s="444"/>
      <c r="P523" s="444"/>
      <c r="Q523" s="444">
        <v>0</v>
      </c>
      <c r="R523" s="444"/>
      <c r="S523" s="444">
        <v>0</v>
      </c>
      <c r="T523" s="444">
        <v>0</v>
      </c>
      <c r="U523" s="444"/>
      <c r="V523" s="444">
        <v>0</v>
      </c>
      <c r="W523" s="444">
        <v>0</v>
      </c>
      <c r="X523" s="418"/>
      <c r="Y523" s="445"/>
      <c r="Z523" s="420"/>
      <c r="AA523" s="421">
        <v>261.72000000000003</v>
      </c>
      <c r="AB523" s="421"/>
      <c r="AC523" s="454">
        <v>23</v>
      </c>
      <c r="AE523" s="445" t="s">
        <v>2429</v>
      </c>
      <c r="AF523" s="454">
        <v>1</v>
      </c>
      <c r="AG523" s="441">
        <v>43101</v>
      </c>
      <c r="AJ523" s="442">
        <v>43321</v>
      </c>
      <c r="AL523" s="446" t="s">
        <v>925</v>
      </c>
      <c r="AO523" s="445"/>
      <c r="AP523" s="454">
        <v>556717</v>
      </c>
      <c r="AQ523" s="443">
        <v>43321</v>
      </c>
      <c r="AR523" s="370">
        <v>0.3</v>
      </c>
      <c r="AT523" s="447"/>
      <c r="AU523" s="447"/>
      <c r="AV523" s="447"/>
      <c r="AY523" s="427" t="s">
        <v>1722</v>
      </c>
      <c r="AZ523" s="373"/>
      <c r="BB523" s="374" t="s">
        <v>1728</v>
      </c>
      <c r="BC523" s="445"/>
      <c r="BE523" s="448"/>
      <c r="BF523" s="449"/>
      <c r="BG523" s="450"/>
      <c r="BH523" s="445"/>
      <c r="BI523" s="491"/>
      <c r="BJ523" s="491">
        <v>9</v>
      </c>
      <c r="BK523" s="445" t="s">
        <v>3259</v>
      </c>
      <c r="BL523" s="445" t="s">
        <v>3260</v>
      </c>
      <c r="BM523" s="445"/>
      <c r="BN523" s="445"/>
      <c r="BO523" s="445"/>
      <c r="BP523" s="445"/>
      <c r="BQ523" s="445" t="s">
        <v>1783</v>
      </c>
      <c r="BR523" s="445">
        <v>2</v>
      </c>
      <c r="BS523" s="445"/>
      <c r="BT523" s="445"/>
      <c r="BU523" s="445"/>
      <c r="BV523" s="445"/>
      <c r="BW523" s="445" t="s">
        <v>2406</v>
      </c>
      <c r="BX523" s="445"/>
      <c r="BY523" s="445"/>
    </row>
    <row r="524" spans="1:77" ht="15">
      <c r="A524" s="370" t="s">
        <v>1269</v>
      </c>
      <c r="B524" s="415" t="s">
        <v>19</v>
      </c>
      <c r="C524" s="416" t="s">
        <v>1682</v>
      </c>
      <c r="D524" s="444">
        <v>0</v>
      </c>
      <c r="E524" s="415" t="s">
        <v>1749</v>
      </c>
      <c r="F524" s="444">
        <v>3</v>
      </c>
      <c r="G524" s="415" t="s">
        <v>1750</v>
      </c>
      <c r="H524" s="444">
        <v>85</v>
      </c>
      <c r="I524" s="417" t="s">
        <v>1694</v>
      </c>
      <c r="J524" s="444">
        <v>0.9</v>
      </c>
      <c r="K524" s="444">
        <v>33</v>
      </c>
      <c r="L524" s="444"/>
      <c r="M524" s="444">
        <v>0</v>
      </c>
      <c r="N524" s="444">
        <v>3</v>
      </c>
      <c r="O524" s="444"/>
      <c r="P524" s="444"/>
      <c r="Q524" s="444">
        <v>0</v>
      </c>
      <c r="R524" s="444">
        <v>0</v>
      </c>
      <c r="S524" s="444">
        <v>0</v>
      </c>
      <c r="T524" s="444">
        <v>0</v>
      </c>
      <c r="U524" s="444">
        <v>0</v>
      </c>
      <c r="V524" s="444">
        <v>0</v>
      </c>
      <c r="W524" s="444">
        <v>28</v>
      </c>
      <c r="X524" s="418"/>
      <c r="Y524" s="445"/>
      <c r="Z524" s="420"/>
      <c r="AA524" s="421">
        <v>67.497</v>
      </c>
      <c r="AB524" s="421"/>
      <c r="AC524" s="454">
        <v>18</v>
      </c>
      <c r="AE524" s="445" t="s">
        <v>2430</v>
      </c>
      <c r="AF524" s="454">
        <v>1</v>
      </c>
      <c r="AG524" s="441">
        <v>43101</v>
      </c>
      <c r="AJ524" s="442">
        <v>43325</v>
      </c>
      <c r="AL524" s="446" t="s">
        <v>912</v>
      </c>
      <c r="AO524" s="445"/>
      <c r="AP524" s="454">
        <v>556718</v>
      </c>
      <c r="AQ524" s="443">
        <v>43325</v>
      </c>
      <c r="AR524" s="370">
        <v>0.3</v>
      </c>
      <c r="AT524" s="447"/>
      <c r="AU524" s="447"/>
      <c r="AV524" s="447"/>
      <c r="AY524" s="427" t="s">
        <v>1559</v>
      </c>
      <c r="AZ524" s="373"/>
      <c r="BB524" s="374" t="s">
        <v>2214</v>
      </c>
      <c r="BC524" s="445"/>
      <c r="BE524" s="448"/>
      <c r="BF524" s="449"/>
      <c r="BG524" s="450"/>
      <c r="BH524" s="445"/>
      <c r="BI524" s="491"/>
      <c r="BJ524" s="491">
        <v>6</v>
      </c>
      <c r="BK524" s="445" t="s">
        <v>3261</v>
      </c>
      <c r="BL524" s="445" t="s">
        <v>3262</v>
      </c>
      <c r="BM524" s="445"/>
      <c r="BN524" s="445"/>
      <c r="BO524" s="445"/>
      <c r="BP524" s="445"/>
      <c r="BQ524" s="445" t="s">
        <v>1269</v>
      </c>
      <c r="BR524" s="445">
        <v>2</v>
      </c>
      <c r="BS524" s="445"/>
      <c r="BT524" s="445"/>
      <c r="BU524" s="445"/>
      <c r="BV524" s="445"/>
      <c r="BW524" s="445" t="s">
        <v>2406</v>
      </c>
      <c r="BX524" s="445"/>
      <c r="BY524" s="445"/>
    </row>
    <row r="525" spans="1:77" ht="15">
      <c r="A525" s="370" t="s">
        <v>1269</v>
      </c>
      <c r="B525" s="415" t="s">
        <v>19</v>
      </c>
      <c r="C525" s="416" t="s">
        <v>1682</v>
      </c>
      <c r="D525" s="444">
        <v>0</v>
      </c>
      <c r="E525" s="415" t="s">
        <v>1749</v>
      </c>
      <c r="F525" s="444">
        <v>3</v>
      </c>
      <c r="G525" s="415" t="s">
        <v>1750</v>
      </c>
      <c r="H525" s="444">
        <v>50</v>
      </c>
      <c r="I525" s="417" t="s">
        <v>1683</v>
      </c>
      <c r="J525" s="444">
        <v>2.5</v>
      </c>
      <c r="K525" s="444">
        <v>353</v>
      </c>
      <c r="L525" s="444"/>
      <c r="M525" s="444">
        <v>0</v>
      </c>
      <c r="N525" s="444">
        <v>5</v>
      </c>
      <c r="O525" s="444"/>
      <c r="P525" s="444"/>
      <c r="Q525" s="444">
        <v>0</v>
      </c>
      <c r="R525" s="444">
        <v>0</v>
      </c>
      <c r="S525" s="444">
        <v>0</v>
      </c>
      <c r="T525" s="444">
        <v>0</v>
      </c>
      <c r="U525" s="444">
        <v>0</v>
      </c>
      <c r="V525" s="444">
        <v>0</v>
      </c>
      <c r="W525" s="444">
        <v>75</v>
      </c>
      <c r="X525" s="418"/>
      <c r="Y525" s="445"/>
      <c r="Z525" s="420"/>
      <c r="AA525" s="421">
        <v>97.108999999999995</v>
      </c>
      <c r="AB525" s="421"/>
      <c r="AC525" s="454">
        <v>18</v>
      </c>
      <c r="AE525" s="445" t="s">
        <v>2431</v>
      </c>
      <c r="AF525" s="454">
        <v>1</v>
      </c>
      <c r="AG525" s="441">
        <v>43101</v>
      </c>
      <c r="AJ525" s="442">
        <v>43325</v>
      </c>
      <c r="AL525" s="446" t="s">
        <v>1001</v>
      </c>
      <c r="AO525" s="445"/>
      <c r="AP525" s="454">
        <v>556718</v>
      </c>
      <c r="AQ525" s="443">
        <v>43325</v>
      </c>
      <c r="AR525" s="370">
        <v>0.3</v>
      </c>
      <c r="AT525" s="447"/>
      <c r="AU525" s="447"/>
      <c r="AV525" s="447"/>
      <c r="AY525" s="427" t="s">
        <v>1559</v>
      </c>
      <c r="AZ525" s="373"/>
      <c r="BB525" s="374" t="s">
        <v>2214</v>
      </c>
      <c r="BC525" s="445"/>
      <c r="BE525" s="448"/>
      <c r="BF525" s="449"/>
      <c r="BG525" s="450"/>
      <c r="BH525" s="445"/>
      <c r="BI525" s="491"/>
      <c r="BJ525" s="491">
        <v>5</v>
      </c>
      <c r="BK525" s="445" t="s">
        <v>3263</v>
      </c>
      <c r="BL525" s="445" t="s">
        <v>3264</v>
      </c>
      <c r="BM525" s="445"/>
      <c r="BN525" s="445"/>
      <c r="BO525" s="445"/>
      <c r="BP525" s="445"/>
      <c r="BQ525" s="445" t="s">
        <v>1269</v>
      </c>
      <c r="BR525" s="445">
        <v>2</v>
      </c>
      <c r="BS525" s="445"/>
      <c r="BT525" s="445"/>
      <c r="BU525" s="445"/>
      <c r="BV525" s="445"/>
      <c r="BW525" s="445" t="s">
        <v>2406</v>
      </c>
      <c r="BX525" s="445"/>
      <c r="BY525" s="445"/>
    </row>
    <row r="526" spans="1:77" ht="15">
      <c r="A526" s="370" t="s">
        <v>1269</v>
      </c>
      <c r="B526" s="415" t="s">
        <v>19</v>
      </c>
      <c r="C526" s="416" t="s">
        <v>1682</v>
      </c>
      <c r="D526" s="444">
        <v>0</v>
      </c>
      <c r="E526" s="415" t="s">
        <v>1749</v>
      </c>
      <c r="F526" s="444">
        <v>3</v>
      </c>
      <c r="G526" s="415" t="s">
        <v>1750</v>
      </c>
      <c r="H526" s="444">
        <v>86</v>
      </c>
      <c r="I526" s="417" t="s">
        <v>1660</v>
      </c>
      <c r="J526" s="444">
        <v>3.4</v>
      </c>
      <c r="K526" s="444">
        <v>439</v>
      </c>
      <c r="L526" s="444"/>
      <c r="M526" s="444">
        <v>0</v>
      </c>
      <c r="N526" s="444">
        <v>6</v>
      </c>
      <c r="O526" s="444"/>
      <c r="P526" s="444"/>
      <c r="Q526" s="444">
        <v>0</v>
      </c>
      <c r="R526" s="444">
        <v>0</v>
      </c>
      <c r="S526" s="444">
        <v>0</v>
      </c>
      <c r="T526" s="444">
        <v>0</v>
      </c>
      <c r="U526" s="444">
        <v>0</v>
      </c>
      <c r="V526" s="444">
        <v>0</v>
      </c>
      <c r="W526" s="444">
        <v>67</v>
      </c>
      <c r="X526" s="418"/>
      <c r="Y526" s="445"/>
      <c r="Z526" s="420"/>
      <c r="AA526" s="421">
        <v>105.294</v>
      </c>
      <c r="AB526" s="421"/>
      <c r="AC526" s="454">
        <v>11</v>
      </c>
      <c r="AE526" s="445" t="s">
        <v>2432</v>
      </c>
      <c r="AF526" s="454">
        <v>1</v>
      </c>
      <c r="AG526" s="441">
        <v>43101</v>
      </c>
      <c r="AJ526" s="442">
        <v>43325</v>
      </c>
      <c r="AL526" s="446" t="s">
        <v>912</v>
      </c>
      <c r="AO526" s="445"/>
      <c r="AP526" s="454">
        <v>556718</v>
      </c>
      <c r="AQ526" s="443">
        <v>43325</v>
      </c>
      <c r="AR526" s="370">
        <v>0.3</v>
      </c>
      <c r="AT526" s="447"/>
      <c r="AU526" s="447"/>
      <c r="AV526" s="447"/>
      <c r="AY526" s="427" t="s">
        <v>1559</v>
      </c>
      <c r="AZ526" s="373"/>
      <c r="BB526" s="374" t="s">
        <v>2214</v>
      </c>
      <c r="BC526" s="445"/>
      <c r="BE526" s="448"/>
      <c r="BF526" s="449"/>
      <c r="BG526" s="450"/>
      <c r="BH526" s="445"/>
      <c r="BI526" s="491"/>
      <c r="BJ526" s="491">
        <v>7</v>
      </c>
      <c r="BK526" s="445" t="s">
        <v>39</v>
      </c>
      <c r="BL526" s="445" t="s">
        <v>3265</v>
      </c>
      <c r="BM526" s="445"/>
      <c r="BN526" s="445"/>
      <c r="BO526" s="445"/>
      <c r="BP526" s="445"/>
      <c r="BQ526" s="445" t="s">
        <v>1269</v>
      </c>
      <c r="BR526" s="445">
        <v>2</v>
      </c>
      <c r="BS526" s="445"/>
      <c r="BT526" s="445"/>
      <c r="BU526" s="445"/>
      <c r="BV526" s="445"/>
      <c r="BW526" s="445" t="s">
        <v>2406</v>
      </c>
      <c r="BX526" s="445"/>
      <c r="BY526" s="445"/>
    </row>
    <row r="527" spans="1:77" ht="15">
      <c r="A527" s="370" t="s">
        <v>1269</v>
      </c>
      <c r="B527" s="415" t="s">
        <v>19</v>
      </c>
      <c r="C527" s="416" t="s">
        <v>1682</v>
      </c>
      <c r="D527" s="444">
        <v>0</v>
      </c>
      <c r="E527" s="415" t="s">
        <v>1749</v>
      </c>
      <c r="F527" s="444">
        <v>3</v>
      </c>
      <c r="G527" s="415" t="s">
        <v>1750</v>
      </c>
      <c r="H527" s="444">
        <v>110</v>
      </c>
      <c r="I527" s="417" t="s">
        <v>1768</v>
      </c>
      <c r="J527" s="444">
        <v>1.4</v>
      </c>
      <c r="K527" s="444">
        <v>103</v>
      </c>
      <c r="L527" s="444"/>
      <c r="M527" s="444">
        <v>0</v>
      </c>
      <c r="N527" s="444">
        <v>3</v>
      </c>
      <c r="O527" s="444"/>
      <c r="P527" s="444"/>
      <c r="Q527" s="444">
        <v>0</v>
      </c>
      <c r="R527" s="444">
        <v>0</v>
      </c>
      <c r="S527" s="444">
        <v>0</v>
      </c>
      <c r="T527" s="444">
        <v>0</v>
      </c>
      <c r="U527" s="444">
        <v>0</v>
      </c>
      <c r="V527" s="444">
        <v>0</v>
      </c>
      <c r="W527" s="444">
        <v>29</v>
      </c>
      <c r="X527" s="418"/>
      <c r="Y527" s="445"/>
      <c r="Z527" s="420"/>
      <c r="AA527" s="421">
        <v>84.754000000000005</v>
      </c>
      <c r="AB527" s="421"/>
      <c r="AC527" s="454">
        <v>6</v>
      </c>
      <c r="AE527" s="445" t="s">
        <v>2433</v>
      </c>
      <c r="AF527" s="454">
        <v>1</v>
      </c>
      <c r="AG527" s="441">
        <v>43101</v>
      </c>
      <c r="AJ527" s="442">
        <v>43325</v>
      </c>
      <c r="AL527" s="446" t="s">
        <v>917</v>
      </c>
      <c r="AO527" s="445"/>
      <c r="AP527" s="454">
        <v>556718</v>
      </c>
      <c r="AQ527" s="443">
        <v>43325</v>
      </c>
      <c r="AR527" s="370">
        <v>0.3</v>
      </c>
      <c r="AT527" s="447"/>
      <c r="AU527" s="447"/>
      <c r="AV527" s="447"/>
      <c r="AY527" s="427" t="s">
        <v>1559</v>
      </c>
      <c r="AZ527" s="373"/>
      <c r="BB527" s="374" t="s">
        <v>2214</v>
      </c>
      <c r="BC527" s="445"/>
      <c r="BE527" s="448"/>
      <c r="BF527" s="449"/>
      <c r="BG527" s="450"/>
      <c r="BH527" s="445"/>
      <c r="BI527" s="491"/>
      <c r="BJ527" s="491">
        <v>8</v>
      </c>
      <c r="BK527" s="445" t="s">
        <v>258</v>
      </c>
      <c r="BL527" s="445" t="s">
        <v>3266</v>
      </c>
      <c r="BM527" s="445"/>
      <c r="BN527" s="445"/>
      <c r="BO527" s="445"/>
      <c r="BP527" s="445"/>
      <c r="BQ527" s="445" t="s">
        <v>1269</v>
      </c>
      <c r="BR527" s="445">
        <v>2</v>
      </c>
      <c r="BS527" s="445"/>
      <c r="BT527" s="445"/>
      <c r="BU527" s="445"/>
      <c r="BV527" s="445"/>
      <c r="BW527" s="445" t="s">
        <v>2406</v>
      </c>
      <c r="BX527" s="445"/>
      <c r="BY527" s="445"/>
    </row>
    <row r="528" spans="1:77" ht="15">
      <c r="A528" s="370" t="s">
        <v>1269</v>
      </c>
      <c r="B528" s="415" t="s">
        <v>19</v>
      </c>
      <c r="C528" s="416" t="s">
        <v>1682</v>
      </c>
      <c r="D528" s="444">
        <v>0</v>
      </c>
      <c r="E528" s="415" t="s">
        <v>1749</v>
      </c>
      <c r="F528" s="444">
        <v>3</v>
      </c>
      <c r="G528" s="415" t="s">
        <v>1750</v>
      </c>
      <c r="H528" s="444">
        <v>123</v>
      </c>
      <c r="I528" s="417" t="s">
        <v>1687</v>
      </c>
      <c r="J528" s="444">
        <v>1.9</v>
      </c>
      <c r="K528" s="444">
        <v>245</v>
      </c>
      <c r="L528" s="444"/>
      <c r="M528" s="444">
        <v>0</v>
      </c>
      <c r="N528" s="444">
        <v>0</v>
      </c>
      <c r="O528" s="444"/>
      <c r="P528" s="444"/>
      <c r="Q528" s="444">
        <v>0</v>
      </c>
      <c r="R528" s="444">
        <v>0</v>
      </c>
      <c r="S528" s="444">
        <v>0</v>
      </c>
      <c r="T528" s="444">
        <v>0</v>
      </c>
      <c r="U528" s="444">
        <v>0</v>
      </c>
      <c r="V528" s="444">
        <v>0</v>
      </c>
      <c r="W528" s="444">
        <v>32</v>
      </c>
      <c r="X528" s="418"/>
      <c r="Y528" s="445"/>
      <c r="Z528" s="420"/>
      <c r="AA528" s="421">
        <v>130.203</v>
      </c>
      <c r="AB528" s="421"/>
      <c r="AC528" s="454">
        <v>5</v>
      </c>
      <c r="AE528" s="445" t="s">
        <v>2434</v>
      </c>
      <c r="AF528" s="454">
        <v>1</v>
      </c>
      <c r="AG528" s="441">
        <v>43101</v>
      </c>
      <c r="AJ528" s="442">
        <v>43325</v>
      </c>
      <c r="AL528" s="446" t="s">
        <v>917</v>
      </c>
      <c r="AO528" s="445"/>
      <c r="AP528" s="454">
        <v>556718</v>
      </c>
      <c r="AQ528" s="443">
        <v>43325</v>
      </c>
      <c r="AR528" s="370">
        <v>0.3</v>
      </c>
      <c r="AT528" s="447"/>
      <c r="AU528" s="447"/>
      <c r="AV528" s="447"/>
      <c r="AY528" s="427" t="s">
        <v>1559</v>
      </c>
      <c r="AZ528" s="373"/>
      <c r="BB528" s="374" t="s">
        <v>2214</v>
      </c>
      <c r="BC528" s="445"/>
      <c r="BE528" s="448"/>
      <c r="BF528" s="449"/>
      <c r="BG528" s="450"/>
      <c r="BH528" s="445"/>
      <c r="BI528" s="491"/>
      <c r="BJ528" s="491">
        <v>9</v>
      </c>
      <c r="BK528" s="445" t="s">
        <v>3267</v>
      </c>
      <c r="BL528" s="445" t="s">
        <v>3268</v>
      </c>
      <c r="BM528" s="445"/>
      <c r="BN528" s="445"/>
      <c r="BO528" s="445"/>
      <c r="BP528" s="445"/>
      <c r="BQ528" s="445" t="s">
        <v>1269</v>
      </c>
      <c r="BR528" s="445">
        <v>2</v>
      </c>
      <c r="BS528" s="445"/>
      <c r="BT528" s="445"/>
      <c r="BU528" s="445"/>
      <c r="BV528" s="445"/>
      <c r="BW528" s="445" t="s">
        <v>2406</v>
      </c>
      <c r="BX528" s="445"/>
      <c r="BY528" s="445"/>
    </row>
    <row r="529" spans="1:77" ht="15">
      <c r="A529" s="370" t="s">
        <v>1269</v>
      </c>
      <c r="B529" s="415" t="s">
        <v>216</v>
      </c>
      <c r="C529" s="416" t="s">
        <v>1767</v>
      </c>
      <c r="D529" s="444">
        <v>0</v>
      </c>
      <c r="E529" s="415" t="s">
        <v>1716</v>
      </c>
      <c r="F529" s="444">
        <v>3</v>
      </c>
      <c r="G529" s="415" t="s">
        <v>1661</v>
      </c>
      <c r="H529" s="444">
        <v>54</v>
      </c>
      <c r="I529" s="417" t="s">
        <v>1423</v>
      </c>
      <c r="J529" s="444">
        <v>1</v>
      </c>
      <c r="K529" s="444">
        <v>55</v>
      </c>
      <c r="L529" s="444">
        <v>0</v>
      </c>
      <c r="M529" s="444">
        <v>0</v>
      </c>
      <c r="N529" s="444">
        <v>3</v>
      </c>
      <c r="O529" s="444">
        <v>0</v>
      </c>
      <c r="P529" s="444">
        <v>0</v>
      </c>
      <c r="Q529" s="444">
        <v>0</v>
      </c>
      <c r="R529" s="444">
        <v>0</v>
      </c>
      <c r="S529" s="444">
        <v>1</v>
      </c>
      <c r="T529" s="444">
        <v>27</v>
      </c>
      <c r="U529" s="444">
        <v>0</v>
      </c>
      <c r="V529" s="444">
        <v>0</v>
      </c>
      <c r="W529" s="444">
        <v>0</v>
      </c>
      <c r="X529" s="418"/>
      <c r="Y529" s="445"/>
      <c r="Z529" s="420"/>
      <c r="AA529" s="421">
        <v>73.584999999999994</v>
      </c>
      <c r="AB529" s="421">
        <v>29.978000000000002</v>
      </c>
      <c r="AC529" s="454">
        <v>2</v>
      </c>
      <c r="AE529" s="445" t="s">
        <v>2435</v>
      </c>
      <c r="AF529" s="454">
        <v>1</v>
      </c>
      <c r="AG529" s="441">
        <v>43101</v>
      </c>
      <c r="AJ529" s="442">
        <v>43313</v>
      </c>
      <c r="AL529" s="446" t="s">
        <v>914</v>
      </c>
      <c r="AO529" s="445"/>
      <c r="AP529" s="454">
        <v>556702</v>
      </c>
      <c r="AQ529" s="443">
        <v>43234</v>
      </c>
      <c r="AT529" s="447"/>
      <c r="AU529" s="447"/>
      <c r="AV529" s="447"/>
      <c r="AY529" s="427" t="s">
        <v>1559</v>
      </c>
      <c r="AZ529" s="373"/>
      <c r="BB529" s="374" t="s">
        <v>2214</v>
      </c>
      <c r="BC529" s="445"/>
      <c r="BE529" s="448">
        <v>0</v>
      </c>
      <c r="BF529" s="449">
        <v>0</v>
      </c>
      <c r="BG529" s="450" t="s">
        <v>1764</v>
      </c>
      <c r="BH529" s="445"/>
      <c r="BI529" s="491"/>
      <c r="BJ529" s="491">
        <v>9</v>
      </c>
      <c r="BK529" s="445" t="s">
        <v>3004</v>
      </c>
      <c r="BL529" s="445" t="s">
        <v>3005</v>
      </c>
      <c r="BM529" s="445"/>
      <c r="BN529" s="445" t="s">
        <v>1765</v>
      </c>
      <c r="BO529" s="445" t="s">
        <v>1765</v>
      </c>
      <c r="BP529" s="445" t="s">
        <v>1765</v>
      </c>
      <c r="BQ529" s="445" t="s">
        <v>1269</v>
      </c>
      <c r="BR529" s="445"/>
      <c r="BS529" s="445"/>
      <c r="BT529" s="445"/>
      <c r="BU529" s="445"/>
      <c r="BV529" s="445"/>
      <c r="BW529" s="445" t="s">
        <v>2406</v>
      </c>
      <c r="BX529" s="445"/>
      <c r="BY529" s="445"/>
    </row>
    <row r="530" spans="1:77" ht="15">
      <c r="A530" s="370" t="s">
        <v>1269</v>
      </c>
      <c r="B530" s="415" t="s">
        <v>216</v>
      </c>
      <c r="C530" s="416" t="s">
        <v>1767</v>
      </c>
      <c r="D530" s="444">
        <v>0</v>
      </c>
      <c r="E530" s="415" t="s">
        <v>1716</v>
      </c>
      <c r="F530" s="444">
        <v>3</v>
      </c>
      <c r="G530" s="415" t="s">
        <v>1661</v>
      </c>
      <c r="H530" s="444">
        <v>126</v>
      </c>
      <c r="I530" s="417" t="s">
        <v>1663</v>
      </c>
      <c r="J530" s="444">
        <v>1</v>
      </c>
      <c r="K530" s="444">
        <v>86</v>
      </c>
      <c r="L530" s="444">
        <v>0</v>
      </c>
      <c r="M530" s="444">
        <v>0</v>
      </c>
      <c r="N530" s="444">
        <v>2</v>
      </c>
      <c r="O530" s="444">
        <v>0</v>
      </c>
      <c r="P530" s="444">
        <v>0</v>
      </c>
      <c r="Q530" s="444">
        <v>0</v>
      </c>
      <c r="R530" s="444">
        <v>0</v>
      </c>
      <c r="S530" s="444">
        <v>9</v>
      </c>
      <c r="T530" s="444">
        <v>4</v>
      </c>
      <c r="U530" s="444">
        <v>0</v>
      </c>
      <c r="V530" s="444">
        <v>0</v>
      </c>
      <c r="W530" s="444">
        <v>0</v>
      </c>
      <c r="X530" s="418"/>
      <c r="Y530" s="445"/>
      <c r="Z530" s="420"/>
      <c r="AA530" s="421">
        <v>104.471</v>
      </c>
      <c r="AB530" s="421">
        <v>29.978000000000002</v>
      </c>
      <c r="AC530" s="454">
        <v>2</v>
      </c>
      <c r="AE530" s="445" t="s">
        <v>2436</v>
      </c>
      <c r="AF530" s="454">
        <v>1</v>
      </c>
      <c r="AG530" s="441">
        <v>43101</v>
      </c>
      <c r="AJ530" s="442">
        <v>43313</v>
      </c>
      <c r="AL530" s="446" t="s">
        <v>914</v>
      </c>
      <c r="AO530" s="445"/>
      <c r="AP530" s="454">
        <v>556702</v>
      </c>
      <c r="AQ530" s="443">
        <v>43234</v>
      </c>
      <c r="AT530" s="447"/>
      <c r="AU530" s="447"/>
      <c r="AV530" s="447"/>
      <c r="AY530" s="427" t="s">
        <v>1559</v>
      </c>
      <c r="AZ530" s="373"/>
      <c r="BB530" s="374" t="s">
        <v>2214</v>
      </c>
      <c r="BC530" s="445"/>
      <c r="BE530" s="448">
        <v>0</v>
      </c>
      <c r="BF530" s="449">
        <v>0</v>
      </c>
      <c r="BG530" s="450" t="s">
        <v>1764</v>
      </c>
      <c r="BH530" s="445"/>
      <c r="BI530" s="491"/>
      <c r="BJ530" s="491">
        <v>3</v>
      </c>
      <c r="BK530" s="445" t="s">
        <v>3022</v>
      </c>
      <c r="BL530" s="445" t="s">
        <v>3023</v>
      </c>
      <c r="BM530" s="445"/>
      <c r="BN530" s="445" t="s">
        <v>1765</v>
      </c>
      <c r="BO530" s="445" t="s">
        <v>1765</v>
      </c>
      <c r="BP530" s="445" t="s">
        <v>1765</v>
      </c>
      <c r="BQ530" s="445" t="s">
        <v>1269</v>
      </c>
      <c r="BR530" s="445"/>
      <c r="BS530" s="445"/>
      <c r="BT530" s="445"/>
      <c r="BU530" s="445"/>
      <c r="BV530" s="445"/>
      <c r="BW530" s="445" t="s">
        <v>2406</v>
      </c>
      <c r="BX530" s="445"/>
      <c r="BY530" s="445"/>
    </row>
    <row r="531" spans="1:77" ht="15">
      <c r="A531" s="370" t="s">
        <v>31</v>
      </c>
      <c r="B531" s="415" t="s">
        <v>216</v>
      </c>
      <c r="C531" s="416" t="s">
        <v>31</v>
      </c>
      <c r="D531" s="444">
        <v>0</v>
      </c>
      <c r="E531" s="415" t="s">
        <v>1716</v>
      </c>
      <c r="F531" s="444">
        <v>2</v>
      </c>
      <c r="G531" s="415" t="s">
        <v>1661</v>
      </c>
      <c r="H531" s="444">
        <v>16</v>
      </c>
      <c r="I531" s="417" t="s">
        <v>1425</v>
      </c>
      <c r="J531" s="444">
        <v>1.8</v>
      </c>
      <c r="K531" s="444">
        <v>647</v>
      </c>
      <c r="L531" s="444">
        <v>0</v>
      </c>
      <c r="M531" s="444">
        <v>44</v>
      </c>
      <c r="N531" s="444">
        <v>162</v>
      </c>
      <c r="O531" s="444">
        <v>0</v>
      </c>
      <c r="P531" s="444">
        <v>0</v>
      </c>
      <c r="Q531" s="444">
        <v>30</v>
      </c>
      <c r="R531" s="444">
        <v>52</v>
      </c>
      <c r="S531" s="444">
        <v>36</v>
      </c>
      <c r="T531" s="444">
        <v>128</v>
      </c>
      <c r="U531" s="444">
        <v>18</v>
      </c>
      <c r="V531" s="444">
        <v>30</v>
      </c>
      <c r="W531" s="444">
        <v>86</v>
      </c>
      <c r="X531" s="418"/>
      <c r="Y531" s="445"/>
      <c r="Z531" s="420"/>
      <c r="AA531" s="421">
        <v>67.718999999999994</v>
      </c>
      <c r="AB531" s="421">
        <v>28.788</v>
      </c>
      <c r="AC531" s="454">
        <v>44</v>
      </c>
      <c r="AE531" s="445" t="s">
        <v>2437</v>
      </c>
      <c r="AF531" s="454">
        <v>1</v>
      </c>
      <c r="AG531" s="441">
        <v>43101</v>
      </c>
      <c r="AJ531" s="442">
        <v>43325</v>
      </c>
      <c r="AL531" s="446" t="s">
        <v>929</v>
      </c>
      <c r="AO531" s="445"/>
      <c r="AP531" s="454">
        <v>556618</v>
      </c>
      <c r="AQ531" s="443">
        <v>43077</v>
      </c>
      <c r="AT531" s="447"/>
      <c r="AU531" s="447"/>
      <c r="AV531" s="447"/>
      <c r="AY531" s="427" t="s">
        <v>1559</v>
      </c>
      <c r="AZ531" s="373"/>
      <c r="BB531" s="374" t="s">
        <v>2214</v>
      </c>
      <c r="BC531" s="445"/>
      <c r="BE531" s="448">
        <v>5</v>
      </c>
      <c r="BF531" s="449">
        <v>40</v>
      </c>
      <c r="BG531" s="450" t="s">
        <v>1764</v>
      </c>
      <c r="BH531" s="445"/>
      <c r="BI531" s="491"/>
      <c r="BJ531" s="491">
        <v>1</v>
      </c>
      <c r="BK531" s="445" t="s">
        <v>3269</v>
      </c>
      <c r="BL531" s="445" t="s">
        <v>3270</v>
      </c>
      <c r="BM531" s="445"/>
      <c r="BN531" s="445" t="s">
        <v>1765</v>
      </c>
      <c r="BO531" s="445" t="s">
        <v>1765</v>
      </c>
      <c r="BP531" s="445" t="s">
        <v>1765</v>
      </c>
      <c r="BQ531" s="445" t="s">
        <v>31</v>
      </c>
      <c r="BR531" s="445"/>
      <c r="BS531" s="445"/>
      <c r="BT531" s="445"/>
      <c r="BU531" s="445"/>
      <c r="BV531" s="445"/>
      <c r="BW531" s="445" t="s">
        <v>2438</v>
      </c>
      <c r="BX531" s="445"/>
      <c r="BY531" s="445"/>
    </row>
    <row r="532" spans="1:77" ht="15">
      <c r="A532" s="370" t="s">
        <v>1269</v>
      </c>
      <c r="B532" s="415" t="s">
        <v>216</v>
      </c>
      <c r="C532" s="416" t="s">
        <v>1682</v>
      </c>
      <c r="D532" s="444">
        <v>0</v>
      </c>
      <c r="E532" s="415" t="s">
        <v>1749</v>
      </c>
      <c r="F532" s="444">
        <v>5</v>
      </c>
      <c r="G532" s="415" t="s">
        <v>1750</v>
      </c>
      <c r="H532" s="444">
        <v>67</v>
      </c>
      <c r="I532" s="417" t="s">
        <v>1423</v>
      </c>
      <c r="J532" s="444">
        <v>8.6</v>
      </c>
      <c r="K532" s="444">
        <v>425</v>
      </c>
      <c r="L532" s="444"/>
      <c r="M532" s="444">
        <v>25</v>
      </c>
      <c r="N532" s="444">
        <v>1</v>
      </c>
      <c r="O532" s="444"/>
      <c r="P532" s="444"/>
      <c r="Q532" s="444">
        <v>0</v>
      </c>
      <c r="R532" s="444"/>
      <c r="S532" s="444">
        <v>0</v>
      </c>
      <c r="T532" s="444">
        <v>0</v>
      </c>
      <c r="U532" s="444">
        <v>4</v>
      </c>
      <c r="V532" s="444">
        <v>174</v>
      </c>
      <c r="W532" s="444">
        <v>30</v>
      </c>
      <c r="X532" s="418"/>
      <c r="Y532" s="445"/>
      <c r="Z532" s="420"/>
      <c r="AA532" s="421">
        <v>85.44</v>
      </c>
      <c r="AB532" s="421"/>
      <c r="AC532" s="454">
        <v>26</v>
      </c>
      <c r="AE532" s="445" t="s">
        <v>2370</v>
      </c>
      <c r="AF532" s="454">
        <v>1</v>
      </c>
      <c r="AG532" s="441">
        <v>43101</v>
      </c>
      <c r="AJ532" s="442">
        <v>43297</v>
      </c>
      <c r="AL532" s="446" t="s">
        <v>1019</v>
      </c>
      <c r="AO532" s="445"/>
      <c r="AP532" s="454">
        <v>556715</v>
      </c>
      <c r="AQ532" s="443">
        <v>43297</v>
      </c>
      <c r="AR532" s="370">
        <v>0.3</v>
      </c>
      <c r="AT532" s="447"/>
      <c r="AU532" s="447"/>
      <c r="AV532" s="447"/>
      <c r="AY532" s="427" t="s">
        <v>1559</v>
      </c>
      <c r="AZ532" s="373"/>
      <c r="BB532" s="374" t="s">
        <v>2214</v>
      </c>
      <c r="BC532" s="445"/>
      <c r="BE532" s="448"/>
      <c r="BF532" s="449"/>
      <c r="BG532" s="450"/>
      <c r="BH532" s="445"/>
      <c r="BI532" s="491"/>
      <c r="BJ532" s="491">
        <v>10</v>
      </c>
      <c r="BK532" s="445" t="s">
        <v>3184</v>
      </c>
      <c r="BL532" s="445" t="s">
        <v>3185</v>
      </c>
      <c r="BM532" s="445"/>
      <c r="BN532" s="445"/>
      <c r="BO532" s="445"/>
      <c r="BP532" s="445"/>
      <c r="BQ532" s="445" t="s">
        <v>1269</v>
      </c>
      <c r="BR532" s="445">
        <v>2</v>
      </c>
      <c r="BS532" s="445"/>
      <c r="BT532" s="445"/>
      <c r="BU532" s="445"/>
      <c r="BV532" s="445"/>
      <c r="BW532" s="445" t="s">
        <v>2438</v>
      </c>
      <c r="BX532" s="445"/>
      <c r="BY532" s="445"/>
    </row>
    <row r="533" spans="1:77" ht="15">
      <c r="A533" s="370" t="s">
        <v>1269</v>
      </c>
      <c r="B533" s="415" t="s">
        <v>177</v>
      </c>
      <c r="C533" s="416" t="s">
        <v>1682</v>
      </c>
      <c r="D533" s="444">
        <v>0</v>
      </c>
      <c r="E533" s="415" t="s">
        <v>1749</v>
      </c>
      <c r="F533" s="444">
        <v>3</v>
      </c>
      <c r="G533" s="415" t="s">
        <v>1750</v>
      </c>
      <c r="H533" s="444">
        <v>31</v>
      </c>
      <c r="I533" s="417" t="s">
        <v>1660</v>
      </c>
      <c r="J533" s="444">
        <v>16</v>
      </c>
      <c r="K533" s="444">
        <v>307</v>
      </c>
      <c r="L533" s="444"/>
      <c r="M533" s="444">
        <v>0</v>
      </c>
      <c r="N533" s="444">
        <v>79</v>
      </c>
      <c r="O533" s="444"/>
      <c r="P533" s="444"/>
      <c r="Q533" s="444">
        <v>0</v>
      </c>
      <c r="R533" s="444"/>
      <c r="S533" s="444">
        <v>0</v>
      </c>
      <c r="T533" s="444">
        <v>0</v>
      </c>
      <c r="U533" s="444">
        <v>0</v>
      </c>
      <c r="V533" s="444">
        <v>0</v>
      </c>
      <c r="W533" s="444">
        <v>176</v>
      </c>
      <c r="X533" s="418"/>
      <c r="Y533" s="445"/>
      <c r="Z533" s="420"/>
      <c r="AA533" s="421">
        <v>63.709000000000003</v>
      </c>
      <c r="AB533" s="421"/>
      <c r="AC533" s="454">
        <v>15</v>
      </c>
      <c r="AE533" s="445" t="s">
        <v>2439</v>
      </c>
      <c r="AF533" s="454">
        <v>1</v>
      </c>
      <c r="AG533" s="441">
        <v>43101</v>
      </c>
      <c r="AJ533" s="442">
        <v>43361</v>
      </c>
      <c r="AL533" s="446" t="s">
        <v>1681</v>
      </c>
      <c r="AO533" s="445"/>
      <c r="AP533" s="454">
        <v>556684</v>
      </c>
      <c r="AQ533" s="443">
        <v>43361</v>
      </c>
      <c r="AR533" s="370">
        <v>0.3</v>
      </c>
      <c r="AT533" s="447"/>
      <c r="AU533" s="447"/>
      <c r="AV533" s="447"/>
      <c r="AY533" s="427" t="s">
        <v>1717</v>
      </c>
      <c r="AZ533" s="373"/>
      <c r="BB533" s="374" t="s">
        <v>1727</v>
      </c>
      <c r="BC533" s="445"/>
      <c r="BE533" s="448"/>
      <c r="BF533" s="449"/>
      <c r="BG533" s="450"/>
      <c r="BH533" s="445"/>
      <c r="BI533" s="491"/>
      <c r="BJ533" s="491">
        <v>1</v>
      </c>
      <c r="BK533" s="445" t="s">
        <v>302</v>
      </c>
      <c r="BL533" s="445" t="s">
        <v>3271</v>
      </c>
      <c r="BM533" s="445"/>
      <c r="BN533" s="445"/>
      <c r="BO533" s="445"/>
      <c r="BP533" s="445"/>
      <c r="BQ533" s="445" t="s">
        <v>1269</v>
      </c>
      <c r="BR533" s="445">
        <v>2</v>
      </c>
      <c r="BS533" s="445"/>
      <c r="BT533" s="445"/>
      <c r="BU533" s="445"/>
      <c r="BV533" s="445"/>
      <c r="BW533" s="445" t="s">
        <v>2438</v>
      </c>
      <c r="BX533" s="445"/>
      <c r="BY533" s="445"/>
    </row>
    <row r="534" spans="1:77" ht="15">
      <c r="A534" s="370" t="s">
        <v>1269</v>
      </c>
      <c r="B534" s="415" t="s">
        <v>177</v>
      </c>
      <c r="C534" s="416" t="s">
        <v>1682</v>
      </c>
      <c r="D534" s="444">
        <v>0</v>
      </c>
      <c r="E534" s="415" t="s">
        <v>1749</v>
      </c>
      <c r="F534" s="444">
        <v>3</v>
      </c>
      <c r="G534" s="415" t="s">
        <v>1750</v>
      </c>
      <c r="H534" s="444">
        <v>79</v>
      </c>
      <c r="I534" s="417" t="s">
        <v>1686</v>
      </c>
      <c r="J534" s="444">
        <v>1</v>
      </c>
      <c r="K534" s="444">
        <v>82</v>
      </c>
      <c r="L534" s="444"/>
      <c r="M534" s="444">
        <v>0</v>
      </c>
      <c r="N534" s="444">
        <v>2</v>
      </c>
      <c r="O534" s="444"/>
      <c r="P534" s="444"/>
      <c r="Q534" s="444">
        <v>0</v>
      </c>
      <c r="R534" s="444"/>
      <c r="S534" s="444">
        <v>0</v>
      </c>
      <c r="T534" s="444">
        <v>0</v>
      </c>
      <c r="U534" s="444">
        <v>0</v>
      </c>
      <c r="V534" s="444">
        <v>0</v>
      </c>
      <c r="W534" s="444">
        <v>36</v>
      </c>
      <c r="X534" s="418"/>
      <c r="Y534" s="445"/>
      <c r="Z534" s="420"/>
      <c r="AA534" s="421">
        <v>78.510999999999996</v>
      </c>
      <c r="AB534" s="421"/>
      <c r="AC534" s="454">
        <v>3</v>
      </c>
      <c r="AE534" s="445" t="s">
        <v>2440</v>
      </c>
      <c r="AF534" s="454">
        <v>1</v>
      </c>
      <c r="AG534" s="441">
        <v>43101</v>
      </c>
      <c r="AJ534" s="442">
        <v>43361</v>
      </c>
      <c r="AL534" s="446" t="s">
        <v>1681</v>
      </c>
      <c r="AO534" s="445"/>
      <c r="AP534" s="454">
        <v>556684</v>
      </c>
      <c r="AQ534" s="443">
        <v>43361</v>
      </c>
      <c r="AR534" s="370">
        <v>0.3</v>
      </c>
      <c r="AT534" s="447"/>
      <c r="AU534" s="447"/>
      <c r="AV534" s="447"/>
      <c r="AY534" s="427" t="s">
        <v>1717</v>
      </c>
      <c r="AZ534" s="373"/>
      <c r="BB534" s="374" t="s">
        <v>1727</v>
      </c>
      <c r="BC534" s="445"/>
      <c r="BE534" s="448"/>
      <c r="BF534" s="449"/>
      <c r="BG534" s="450"/>
      <c r="BH534" s="445"/>
      <c r="BI534" s="491"/>
      <c r="BJ534" s="491">
        <v>2</v>
      </c>
      <c r="BK534" s="445" t="s">
        <v>3272</v>
      </c>
      <c r="BL534" s="445" t="s">
        <v>3273</v>
      </c>
      <c r="BM534" s="445"/>
      <c r="BN534" s="445"/>
      <c r="BO534" s="445"/>
      <c r="BP534" s="445"/>
      <c r="BQ534" s="445" t="s">
        <v>1269</v>
      </c>
      <c r="BR534" s="445">
        <v>2</v>
      </c>
      <c r="BS534" s="445"/>
      <c r="BT534" s="445"/>
      <c r="BU534" s="445"/>
      <c r="BV534" s="445"/>
      <c r="BW534" s="445" t="s">
        <v>2438</v>
      </c>
      <c r="BX534" s="445"/>
      <c r="BY534" s="445"/>
    </row>
    <row r="535" spans="1:77" ht="15">
      <c r="A535" s="370" t="s">
        <v>1269</v>
      </c>
      <c r="B535" s="415" t="s">
        <v>216</v>
      </c>
      <c r="C535" s="416" t="s">
        <v>1682</v>
      </c>
      <c r="D535" s="444">
        <v>0</v>
      </c>
      <c r="E535" s="415" t="s">
        <v>1749</v>
      </c>
      <c r="F535" s="444">
        <v>3</v>
      </c>
      <c r="G535" s="415" t="s">
        <v>1750</v>
      </c>
      <c r="H535" s="444">
        <v>65</v>
      </c>
      <c r="I535" s="417" t="s">
        <v>1664</v>
      </c>
      <c r="J535" s="444">
        <v>11.5</v>
      </c>
      <c r="K535" s="444">
        <v>817</v>
      </c>
      <c r="L535" s="444"/>
      <c r="M535" s="444">
        <v>49</v>
      </c>
      <c r="N535" s="444">
        <v>0</v>
      </c>
      <c r="O535" s="444"/>
      <c r="P535" s="444"/>
      <c r="Q535" s="444">
        <v>0</v>
      </c>
      <c r="R535" s="444"/>
      <c r="S535" s="444">
        <v>371</v>
      </c>
      <c r="T535" s="444">
        <v>0</v>
      </c>
      <c r="U535" s="444">
        <v>0</v>
      </c>
      <c r="V535" s="444">
        <v>0</v>
      </c>
      <c r="W535" s="444">
        <v>0</v>
      </c>
      <c r="X535" s="418"/>
      <c r="Y535" s="445"/>
      <c r="Z535" s="420"/>
      <c r="AA535" s="421">
        <v>66.614000000000004</v>
      </c>
      <c r="AB535" s="421"/>
      <c r="AC535" s="454">
        <v>51</v>
      </c>
      <c r="AE535" s="445" t="s">
        <v>2441</v>
      </c>
      <c r="AF535" s="454">
        <v>1</v>
      </c>
      <c r="AG535" s="441">
        <v>43101</v>
      </c>
      <c r="AJ535" s="442">
        <v>43353</v>
      </c>
      <c r="AL535" s="446" t="s">
        <v>914</v>
      </c>
      <c r="AO535" s="445"/>
      <c r="AP535" s="454">
        <v>556683</v>
      </c>
      <c r="AQ535" s="443">
        <v>43353</v>
      </c>
      <c r="AR535" s="370">
        <v>0.3</v>
      </c>
      <c r="AT535" s="447"/>
      <c r="AU535" s="447"/>
      <c r="AV535" s="447"/>
      <c r="AY535" s="427" t="s">
        <v>1559</v>
      </c>
      <c r="AZ535" s="373"/>
      <c r="BB535" s="374" t="s">
        <v>2214</v>
      </c>
      <c r="BC535" s="445"/>
      <c r="BE535" s="448"/>
      <c r="BF535" s="449"/>
      <c r="BG535" s="450"/>
      <c r="BH535" s="445"/>
      <c r="BI535" s="491"/>
      <c r="BJ535" s="491">
        <v>21</v>
      </c>
      <c r="BK535" s="445" t="s">
        <v>200</v>
      </c>
      <c r="BL535" s="445" t="s">
        <v>3274</v>
      </c>
      <c r="BM535" s="445"/>
      <c r="BN535" s="445"/>
      <c r="BO535" s="445"/>
      <c r="BP535" s="445"/>
      <c r="BQ535" s="445" t="s">
        <v>1269</v>
      </c>
      <c r="BR535" s="445">
        <v>2</v>
      </c>
      <c r="BS535" s="445"/>
      <c r="BT535" s="445"/>
      <c r="BU535" s="445"/>
      <c r="BV535" s="445"/>
      <c r="BW535" s="445" t="s">
        <v>2438</v>
      </c>
      <c r="BX535" s="445"/>
      <c r="BY535" s="445"/>
    </row>
    <row r="536" spans="1:77" ht="15">
      <c r="A536" s="370" t="s">
        <v>1269</v>
      </c>
      <c r="B536" s="415" t="s">
        <v>216</v>
      </c>
      <c r="C536" s="416" t="s">
        <v>1682</v>
      </c>
      <c r="D536" s="444">
        <v>0</v>
      </c>
      <c r="E536" s="415" t="s">
        <v>1749</v>
      </c>
      <c r="F536" s="444">
        <v>3</v>
      </c>
      <c r="G536" s="415" t="s">
        <v>1750</v>
      </c>
      <c r="H536" s="444">
        <v>80</v>
      </c>
      <c r="I536" s="417" t="s">
        <v>1684</v>
      </c>
      <c r="J536" s="444">
        <v>0.3</v>
      </c>
      <c r="K536" s="444">
        <v>23</v>
      </c>
      <c r="L536" s="444"/>
      <c r="M536" s="444">
        <v>1</v>
      </c>
      <c r="N536" s="444">
        <v>0</v>
      </c>
      <c r="O536" s="444"/>
      <c r="P536" s="444"/>
      <c r="Q536" s="444">
        <v>0</v>
      </c>
      <c r="R536" s="444"/>
      <c r="S536" s="444">
        <v>4</v>
      </c>
      <c r="T536" s="444">
        <v>0</v>
      </c>
      <c r="U536" s="444">
        <v>0</v>
      </c>
      <c r="V536" s="444">
        <v>0</v>
      </c>
      <c r="W536" s="444">
        <v>0</v>
      </c>
      <c r="X536" s="418"/>
      <c r="Y536" s="445"/>
      <c r="Z536" s="420"/>
      <c r="AA536" s="421">
        <v>90.1</v>
      </c>
      <c r="AB536" s="421"/>
      <c r="AC536" s="454">
        <v>1</v>
      </c>
      <c r="AE536" s="445" t="s">
        <v>2442</v>
      </c>
      <c r="AF536" s="454">
        <v>1</v>
      </c>
      <c r="AG536" s="441">
        <v>43101</v>
      </c>
      <c r="AJ536" s="442">
        <v>43353</v>
      </c>
      <c r="AL536" s="446" t="s">
        <v>1018</v>
      </c>
      <c r="AO536" s="445"/>
      <c r="AP536" s="454">
        <v>556683</v>
      </c>
      <c r="AQ536" s="443">
        <v>43353</v>
      </c>
      <c r="AR536" s="370">
        <v>0.3</v>
      </c>
      <c r="AT536" s="447"/>
      <c r="AU536" s="447"/>
      <c r="AV536" s="447"/>
      <c r="AY536" s="427" t="s">
        <v>1559</v>
      </c>
      <c r="AZ536" s="373"/>
      <c r="BB536" s="374" t="s">
        <v>2214</v>
      </c>
      <c r="BC536" s="445"/>
      <c r="BE536" s="448"/>
      <c r="BF536" s="449"/>
      <c r="BG536" s="450"/>
      <c r="BH536" s="445"/>
      <c r="BI536" s="491"/>
      <c r="BJ536" s="491">
        <v>22</v>
      </c>
      <c r="BK536" s="445" t="s">
        <v>3275</v>
      </c>
      <c r="BL536" s="445" t="s">
        <v>3276</v>
      </c>
      <c r="BM536" s="445"/>
      <c r="BN536" s="445"/>
      <c r="BO536" s="445"/>
      <c r="BP536" s="445"/>
      <c r="BQ536" s="445" t="s">
        <v>1269</v>
      </c>
      <c r="BR536" s="445">
        <v>2</v>
      </c>
      <c r="BS536" s="445"/>
      <c r="BT536" s="445"/>
      <c r="BU536" s="445"/>
      <c r="BV536" s="445"/>
      <c r="BW536" s="445" t="s">
        <v>2438</v>
      </c>
      <c r="BX536" s="445"/>
      <c r="BY536" s="445"/>
    </row>
    <row r="537" spans="1:77" ht="15">
      <c r="A537" s="370" t="s">
        <v>1269</v>
      </c>
      <c r="B537" s="415" t="s">
        <v>216</v>
      </c>
      <c r="C537" s="416" t="s">
        <v>1682</v>
      </c>
      <c r="D537" s="444">
        <v>0</v>
      </c>
      <c r="E537" s="415" t="s">
        <v>1749</v>
      </c>
      <c r="F537" s="444">
        <v>3</v>
      </c>
      <c r="G537" s="415" t="s">
        <v>1750</v>
      </c>
      <c r="H537" s="444">
        <v>80</v>
      </c>
      <c r="I537" s="417" t="s">
        <v>1687</v>
      </c>
      <c r="J537" s="444">
        <v>3</v>
      </c>
      <c r="K537" s="444">
        <v>308</v>
      </c>
      <c r="L537" s="444"/>
      <c r="M537" s="444">
        <v>15</v>
      </c>
      <c r="N537" s="444">
        <v>0</v>
      </c>
      <c r="O537" s="444"/>
      <c r="P537" s="444"/>
      <c r="Q537" s="444">
        <v>0</v>
      </c>
      <c r="R537" s="444"/>
      <c r="S537" s="444">
        <v>83</v>
      </c>
      <c r="T537" s="444">
        <v>0</v>
      </c>
      <c r="U537" s="444">
        <v>0</v>
      </c>
      <c r="V537" s="444">
        <v>0</v>
      </c>
      <c r="W537" s="444">
        <v>0</v>
      </c>
      <c r="X537" s="418"/>
      <c r="Y537" s="445"/>
      <c r="Z537" s="420"/>
      <c r="AA537" s="421">
        <v>74.350999999999999</v>
      </c>
      <c r="AB537" s="421"/>
      <c r="AC537" s="454">
        <v>14</v>
      </c>
      <c r="AE537" s="445" t="s">
        <v>2443</v>
      </c>
      <c r="AF537" s="454">
        <v>1</v>
      </c>
      <c r="AG537" s="441">
        <v>43101</v>
      </c>
      <c r="AJ537" s="442">
        <v>43353</v>
      </c>
      <c r="AL537" s="446" t="s">
        <v>1018</v>
      </c>
      <c r="AO537" s="445"/>
      <c r="AP537" s="454">
        <v>556683</v>
      </c>
      <c r="AQ537" s="443">
        <v>43353</v>
      </c>
      <c r="AR537" s="370">
        <v>0.3</v>
      </c>
      <c r="AT537" s="447"/>
      <c r="AU537" s="447"/>
      <c r="AV537" s="447"/>
      <c r="AY537" s="427" t="s">
        <v>1559</v>
      </c>
      <c r="AZ537" s="373"/>
      <c r="BB537" s="374" t="s">
        <v>2214</v>
      </c>
      <c r="BC537" s="445"/>
      <c r="BE537" s="448"/>
      <c r="BF537" s="449"/>
      <c r="BG537" s="450"/>
      <c r="BH537" s="445"/>
      <c r="BI537" s="491"/>
      <c r="BJ537" s="491">
        <v>23</v>
      </c>
      <c r="BK537" s="445" t="s">
        <v>3277</v>
      </c>
      <c r="BL537" s="445" t="s">
        <v>3278</v>
      </c>
      <c r="BM537" s="445"/>
      <c r="BN537" s="445"/>
      <c r="BO537" s="445"/>
      <c r="BP537" s="445"/>
      <c r="BQ537" s="445" t="s">
        <v>1269</v>
      </c>
      <c r="BR537" s="445">
        <v>2</v>
      </c>
      <c r="BS537" s="445"/>
      <c r="BT537" s="445"/>
      <c r="BU537" s="445"/>
      <c r="BV537" s="445"/>
      <c r="BW537" s="445" t="s">
        <v>2438</v>
      </c>
      <c r="BX537" s="445"/>
      <c r="BY537" s="445"/>
    </row>
    <row r="538" spans="1:77" ht="15">
      <c r="A538" s="370" t="s">
        <v>1269</v>
      </c>
      <c r="B538" s="415" t="s">
        <v>216</v>
      </c>
      <c r="C538" s="416" t="s">
        <v>1682</v>
      </c>
      <c r="D538" s="444">
        <v>0</v>
      </c>
      <c r="E538" s="415" t="s">
        <v>1749</v>
      </c>
      <c r="F538" s="444">
        <v>3</v>
      </c>
      <c r="G538" s="415" t="s">
        <v>1750</v>
      </c>
      <c r="H538" s="444">
        <v>131</v>
      </c>
      <c r="I538" s="417" t="s">
        <v>2156</v>
      </c>
      <c r="J538" s="444">
        <v>0.6</v>
      </c>
      <c r="K538" s="444">
        <v>195</v>
      </c>
      <c r="L538" s="444"/>
      <c r="M538" s="444">
        <v>1</v>
      </c>
      <c r="N538" s="444">
        <v>0</v>
      </c>
      <c r="O538" s="444"/>
      <c r="P538" s="444"/>
      <c r="Q538" s="444">
        <v>0</v>
      </c>
      <c r="R538" s="444"/>
      <c r="S538" s="444">
        <v>35</v>
      </c>
      <c r="T538" s="444">
        <v>1</v>
      </c>
      <c r="U538" s="444">
        <v>0</v>
      </c>
      <c r="V538" s="444">
        <v>0</v>
      </c>
      <c r="W538" s="444">
        <v>0</v>
      </c>
      <c r="X538" s="418"/>
      <c r="Y538" s="445"/>
      <c r="Z538" s="420"/>
      <c r="AA538" s="421">
        <v>96.36</v>
      </c>
      <c r="AB538" s="421"/>
      <c r="AC538" s="454">
        <v>7</v>
      </c>
      <c r="AE538" s="445" t="s">
        <v>2444</v>
      </c>
      <c r="AF538" s="454">
        <v>1</v>
      </c>
      <c r="AG538" s="441">
        <v>43101</v>
      </c>
      <c r="AJ538" s="442">
        <v>43353</v>
      </c>
      <c r="AL538" s="446" t="s">
        <v>928</v>
      </c>
      <c r="AO538" s="445"/>
      <c r="AP538" s="454">
        <v>556683</v>
      </c>
      <c r="AQ538" s="443">
        <v>43353</v>
      </c>
      <c r="AR538" s="370">
        <v>0.3</v>
      </c>
      <c r="AT538" s="447"/>
      <c r="AU538" s="447"/>
      <c r="AV538" s="447"/>
      <c r="AY538" s="427" t="s">
        <v>1559</v>
      </c>
      <c r="AZ538" s="373"/>
      <c r="BB538" s="374" t="s">
        <v>2214</v>
      </c>
      <c r="BC538" s="445"/>
      <c r="BE538" s="448"/>
      <c r="BF538" s="449"/>
      <c r="BG538" s="450"/>
      <c r="BH538" s="445"/>
      <c r="BI538" s="491"/>
      <c r="BJ538" s="491">
        <v>24</v>
      </c>
      <c r="BK538" s="445" t="s">
        <v>3279</v>
      </c>
      <c r="BL538" s="445" t="s">
        <v>3280</v>
      </c>
      <c r="BM538" s="445"/>
      <c r="BN538" s="445"/>
      <c r="BO538" s="445"/>
      <c r="BP538" s="445"/>
      <c r="BQ538" s="445" t="s">
        <v>1269</v>
      </c>
      <c r="BR538" s="445">
        <v>2</v>
      </c>
      <c r="BS538" s="445"/>
      <c r="BT538" s="445"/>
      <c r="BU538" s="445"/>
      <c r="BV538" s="445"/>
      <c r="BW538" s="445" t="s">
        <v>2438</v>
      </c>
      <c r="BX538" s="445"/>
      <c r="BY538" s="445"/>
    </row>
    <row r="539" spans="1:77" ht="15">
      <c r="A539" s="370" t="s">
        <v>1269</v>
      </c>
      <c r="B539" s="415" t="s">
        <v>216</v>
      </c>
      <c r="C539" s="416" t="s">
        <v>1682</v>
      </c>
      <c r="D539" s="444">
        <v>0</v>
      </c>
      <c r="E539" s="415" t="s">
        <v>1749</v>
      </c>
      <c r="F539" s="444">
        <v>3</v>
      </c>
      <c r="G539" s="415" t="s">
        <v>1750</v>
      </c>
      <c r="H539" s="444">
        <v>65</v>
      </c>
      <c r="I539" s="417" t="s">
        <v>1659</v>
      </c>
      <c r="J539" s="444">
        <v>0.9</v>
      </c>
      <c r="K539" s="444">
        <v>93</v>
      </c>
      <c r="L539" s="444"/>
      <c r="M539" s="444">
        <v>2</v>
      </c>
      <c r="N539" s="444">
        <v>0</v>
      </c>
      <c r="O539" s="444"/>
      <c r="P539" s="444"/>
      <c r="Q539" s="444">
        <v>0</v>
      </c>
      <c r="R539" s="444"/>
      <c r="S539" s="444">
        <v>42</v>
      </c>
      <c r="T539" s="444">
        <v>1</v>
      </c>
      <c r="U539" s="444">
        <v>0</v>
      </c>
      <c r="V539" s="444">
        <v>0</v>
      </c>
      <c r="W539" s="444">
        <v>0</v>
      </c>
      <c r="X539" s="418"/>
      <c r="Y539" s="445"/>
      <c r="Z539" s="420"/>
      <c r="AA539" s="421">
        <v>72.328000000000003</v>
      </c>
      <c r="AB539" s="421"/>
      <c r="AC539" s="454">
        <v>3</v>
      </c>
      <c r="AE539" s="445" t="s">
        <v>2445</v>
      </c>
      <c r="AF539" s="454">
        <v>1</v>
      </c>
      <c r="AG539" s="441">
        <v>43101</v>
      </c>
      <c r="AJ539" s="442">
        <v>43353</v>
      </c>
      <c r="AL539" s="446" t="s">
        <v>914</v>
      </c>
      <c r="AO539" s="445"/>
      <c r="AP539" s="454">
        <v>556683</v>
      </c>
      <c r="AQ539" s="443">
        <v>43353</v>
      </c>
      <c r="AR539" s="370">
        <v>0.3</v>
      </c>
      <c r="AT539" s="447"/>
      <c r="AU539" s="447"/>
      <c r="AV539" s="447"/>
      <c r="AY539" s="427" t="s">
        <v>1559</v>
      </c>
      <c r="AZ539" s="373"/>
      <c r="BB539" s="374" t="s">
        <v>2214</v>
      </c>
      <c r="BC539" s="445"/>
      <c r="BE539" s="448"/>
      <c r="BF539" s="449"/>
      <c r="BG539" s="450"/>
      <c r="BH539" s="445"/>
      <c r="BI539" s="491"/>
      <c r="BJ539" s="491">
        <v>25</v>
      </c>
      <c r="BK539" s="445" t="s">
        <v>1908</v>
      </c>
      <c r="BL539" s="445" t="s">
        <v>3281</v>
      </c>
      <c r="BM539" s="445"/>
      <c r="BN539" s="445"/>
      <c r="BO539" s="445"/>
      <c r="BP539" s="445"/>
      <c r="BQ539" s="445" t="s">
        <v>1269</v>
      </c>
      <c r="BR539" s="445">
        <v>2</v>
      </c>
      <c r="BS539" s="445"/>
      <c r="BT539" s="445"/>
      <c r="BU539" s="445"/>
      <c r="BV539" s="445"/>
      <c r="BW539" s="445" t="s">
        <v>2438</v>
      </c>
      <c r="BX539" s="445"/>
      <c r="BY539" s="445"/>
    </row>
    <row r="540" spans="1:77" ht="15">
      <c r="A540" s="370" t="s">
        <v>1269</v>
      </c>
      <c r="B540" s="415" t="s">
        <v>216</v>
      </c>
      <c r="C540" s="416" t="s">
        <v>1682</v>
      </c>
      <c r="D540" s="444">
        <v>0</v>
      </c>
      <c r="E540" s="415" t="s">
        <v>1749</v>
      </c>
      <c r="F540" s="444">
        <v>3</v>
      </c>
      <c r="G540" s="415" t="s">
        <v>1750</v>
      </c>
      <c r="H540" s="444">
        <v>66</v>
      </c>
      <c r="I540" s="417" t="s">
        <v>1660</v>
      </c>
      <c r="J540" s="444">
        <v>1</v>
      </c>
      <c r="K540" s="444">
        <v>135</v>
      </c>
      <c r="L540" s="444"/>
      <c r="M540" s="444">
        <v>3</v>
      </c>
      <c r="N540" s="444">
        <v>0</v>
      </c>
      <c r="O540" s="444"/>
      <c r="P540" s="444"/>
      <c r="Q540" s="444">
        <v>0</v>
      </c>
      <c r="R540" s="444"/>
      <c r="S540" s="444">
        <v>29</v>
      </c>
      <c r="T540" s="444">
        <v>0</v>
      </c>
      <c r="U540" s="444">
        <v>0</v>
      </c>
      <c r="V540" s="444">
        <v>0</v>
      </c>
      <c r="W540" s="444">
        <v>0</v>
      </c>
      <c r="X540" s="418"/>
      <c r="Y540" s="445"/>
      <c r="Z540" s="420"/>
      <c r="AA540" s="421">
        <v>84.456999999999994</v>
      </c>
      <c r="AB540" s="421"/>
      <c r="AC540" s="454">
        <v>5</v>
      </c>
      <c r="AE540" s="445" t="s">
        <v>2446</v>
      </c>
      <c r="AF540" s="454">
        <v>1</v>
      </c>
      <c r="AG540" s="441">
        <v>43101</v>
      </c>
      <c r="AJ540" s="442">
        <v>43353</v>
      </c>
      <c r="AL540" s="446" t="s">
        <v>914</v>
      </c>
      <c r="AO540" s="445"/>
      <c r="AP540" s="454">
        <v>556683</v>
      </c>
      <c r="AQ540" s="443">
        <v>43353</v>
      </c>
      <c r="AR540" s="370">
        <v>0.3</v>
      </c>
      <c r="AT540" s="447"/>
      <c r="AU540" s="447"/>
      <c r="AV540" s="447"/>
      <c r="AY540" s="427" t="s">
        <v>1559</v>
      </c>
      <c r="AZ540" s="373"/>
      <c r="BB540" s="374" t="s">
        <v>2214</v>
      </c>
      <c r="BC540" s="445"/>
      <c r="BE540" s="448"/>
      <c r="BF540" s="449"/>
      <c r="BG540" s="450"/>
      <c r="BH540" s="445"/>
      <c r="BI540" s="491"/>
      <c r="BJ540" s="491">
        <v>26</v>
      </c>
      <c r="BK540" s="445" t="s">
        <v>3282</v>
      </c>
      <c r="BL540" s="445" t="s">
        <v>3283</v>
      </c>
      <c r="BM540" s="445"/>
      <c r="BN540" s="445"/>
      <c r="BO540" s="445"/>
      <c r="BP540" s="445"/>
      <c r="BQ540" s="445" t="s">
        <v>1269</v>
      </c>
      <c r="BR540" s="445">
        <v>2</v>
      </c>
      <c r="BS540" s="445"/>
      <c r="BT540" s="445"/>
      <c r="BU540" s="445"/>
      <c r="BV540" s="445"/>
      <c r="BW540" s="445" t="s">
        <v>2438</v>
      </c>
      <c r="BX540" s="445"/>
      <c r="BY540" s="445"/>
    </row>
    <row r="541" spans="1:77" ht="15">
      <c r="A541" s="370" t="s">
        <v>1269</v>
      </c>
      <c r="B541" s="415" t="s">
        <v>216</v>
      </c>
      <c r="C541" s="416" t="s">
        <v>1682</v>
      </c>
      <c r="D541" s="444">
        <v>0</v>
      </c>
      <c r="E541" s="415" t="s">
        <v>1749</v>
      </c>
      <c r="F541" s="444">
        <v>3</v>
      </c>
      <c r="G541" s="415" t="s">
        <v>1750</v>
      </c>
      <c r="H541" s="444">
        <v>131</v>
      </c>
      <c r="I541" s="417" t="s">
        <v>1694</v>
      </c>
      <c r="J541" s="444">
        <v>0.7</v>
      </c>
      <c r="K541" s="444">
        <v>126</v>
      </c>
      <c r="L541" s="444"/>
      <c r="M541" s="444">
        <v>0</v>
      </c>
      <c r="N541" s="444">
        <v>0</v>
      </c>
      <c r="O541" s="444"/>
      <c r="P541" s="444"/>
      <c r="Q541" s="444">
        <v>0</v>
      </c>
      <c r="R541" s="444"/>
      <c r="S541" s="444">
        <v>21</v>
      </c>
      <c r="T541" s="444">
        <v>0</v>
      </c>
      <c r="U541" s="444">
        <v>0</v>
      </c>
      <c r="V541" s="444">
        <v>0</v>
      </c>
      <c r="W541" s="444">
        <v>0</v>
      </c>
      <c r="X541" s="418"/>
      <c r="Y541" s="445"/>
      <c r="Z541" s="420"/>
      <c r="AA541" s="421">
        <v>97.019000000000005</v>
      </c>
      <c r="AB541" s="421"/>
      <c r="AC541" s="454">
        <v>3</v>
      </c>
      <c r="AE541" s="445" t="s">
        <v>2447</v>
      </c>
      <c r="AF541" s="454">
        <v>1</v>
      </c>
      <c r="AG541" s="441">
        <v>43101</v>
      </c>
      <c r="AJ541" s="442">
        <v>43353</v>
      </c>
      <c r="AL541" s="446" t="s">
        <v>928</v>
      </c>
      <c r="AO541" s="445"/>
      <c r="AP541" s="454">
        <v>556683</v>
      </c>
      <c r="AQ541" s="443">
        <v>43353</v>
      </c>
      <c r="AR541" s="370">
        <v>0.3</v>
      </c>
      <c r="AT541" s="447"/>
      <c r="AU541" s="447"/>
      <c r="AV541" s="447"/>
      <c r="AY541" s="427" t="s">
        <v>1559</v>
      </c>
      <c r="AZ541" s="373"/>
      <c r="BB541" s="374" t="s">
        <v>2214</v>
      </c>
      <c r="BC541" s="445"/>
      <c r="BE541" s="448"/>
      <c r="BF541" s="449"/>
      <c r="BG541" s="450"/>
      <c r="BH541" s="445"/>
      <c r="BI541" s="491"/>
      <c r="BJ541" s="491">
        <v>27</v>
      </c>
      <c r="BK541" s="445" t="s">
        <v>3284</v>
      </c>
      <c r="BL541" s="445" t="s">
        <v>3285</v>
      </c>
      <c r="BM541" s="445"/>
      <c r="BN541" s="445"/>
      <c r="BO541" s="445"/>
      <c r="BP541" s="445"/>
      <c r="BQ541" s="445" t="s">
        <v>1269</v>
      </c>
      <c r="BR541" s="445">
        <v>2</v>
      </c>
      <c r="BS541" s="445"/>
      <c r="BT541" s="445"/>
      <c r="BU541" s="445"/>
      <c r="BV541" s="445"/>
      <c r="BW541" s="445" t="s">
        <v>2438</v>
      </c>
      <c r="BX541" s="445"/>
      <c r="BY541" s="445"/>
    </row>
    <row r="542" spans="1:77" ht="15">
      <c r="A542" s="370" t="s">
        <v>1269</v>
      </c>
      <c r="B542" s="415" t="s">
        <v>216</v>
      </c>
      <c r="C542" s="416" t="s">
        <v>1682</v>
      </c>
      <c r="D542" s="444">
        <v>0</v>
      </c>
      <c r="E542" s="415" t="s">
        <v>1749</v>
      </c>
      <c r="F542" s="444">
        <v>3</v>
      </c>
      <c r="G542" s="415" t="s">
        <v>1750</v>
      </c>
      <c r="H542" s="444">
        <v>131</v>
      </c>
      <c r="I542" s="417" t="s">
        <v>1770</v>
      </c>
      <c r="J542" s="444">
        <v>0.6</v>
      </c>
      <c r="K542" s="444">
        <v>75</v>
      </c>
      <c r="L542" s="444"/>
      <c r="M542" s="444">
        <v>0</v>
      </c>
      <c r="N542" s="444">
        <v>0</v>
      </c>
      <c r="O542" s="444"/>
      <c r="P542" s="444"/>
      <c r="Q542" s="444">
        <v>0</v>
      </c>
      <c r="R542" s="444"/>
      <c r="S542" s="444">
        <v>14</v>
      </c>
      <c r="T542" s="444">
        <v>0</v>
      </c>
      <c r="U542" s="444">
        <v>0</v>
      </c>
      <c r="V542" s="444">
        <v>0</v>
      </c>
      <c r="W542" s="444">
        <v>0</v>
      </c>
      <c r="X542" s="418"/>
      <c r="Y542" s="445"/>
      <c r="Z542" s="420"/>
      <c r="AA542" s="421">
        <v>97.02</v>
      </c>
      <c r="AB542" s="421"/>
      <c r="AC542" s="454">
        <v>2</v>
      </c>
      <c r="AE542" s="445" t="s">
        <v>2448</v>
      </c>
      <c r="AF542" s="454">
        <v>1</v>
      </c>
      <c r="AG542" s="441">
        <v>43101</v>
      </c>
      <c r="AJ542" s="442">
        <v>43353</v>
      </c>
      <c r="AL542" s="446" t="s">
        <v>928</v>
      </c>
      <c r="AO542" s="445"/>
      <c r="AP542" s="454">
        <v>556683</v>
      </c>
      <c r="AQ542" s="443">
        <v>43353</v>
      </c>
      <c r="AR542" s="370">
        <v>0.3</v>
      </c>
      <c r="AT542" s="447"/>
      <c r="AU542" s="447"/>
      <c r="AV542" s="447"/>
      <c r="AY542" s="427" t="s">
        <v>1559</v>
      </c>
      <c r="AZ542" s="373"/>
      <c r="BB542" s="374" t="s">
        <v>2214</v>
      </c>
      <c r="BC542" s="445"/>
      <c r="BE542" s="448"/>
      <c r="BF542" s="449"/>
      <c r="BG542" s="450"/>
      <c r="BH542" s="445"/>
      <c r="BI542" s="491"/>
      <c r="BJ542" s="491">
        <v>28</v>
      </c>
      <c r="BK542" s="445" t="s">
        <v>3286</v>
      </c>
      <c r="BL542" s="445" t="s">
        <v>3287</v>
      </c>
      <c r="BM542" s="445"/>
      <c r="BN542" s="445"/>
      <c r="BO542" s="445"/>
      <c r="BP542" s="445"/>
      <c r="BQ542" s="445" t="s">
        <v>1269</v>
      </c>
      <c r="BR542" s="445">
        <v>2</v>
      </c>
      <c r="BS542" s="445"/>
      <c r="BT542" s="445"/>
      <c r="BU542" s="445"/>
      <c r="BV542" s="445"/>
      <c r="BW542" s="445" t="s">
        <v>2438</v>
      </c>
      <c r="BX542" s="445"/>
      <c r="BY542" s="445"/>
    </row>
    <row r="543" spans="1:77" ht="15">
      <c r="A543" s="370" t="s">
        <v>1269</v>
      </c>
      <c r="B543" s="415" t="s">
        <v>216</v>
      </c>
      <c r="C543" s="416" t="s">
        <v>1682</v>
      </c>
      <c r="D543" s="444">
        <v>0</v>
      </c>
      <c r="E543" s="415" t="s">
        <v>1749</v>
      </c>
      <c r="F543" s="444">
        <v>3</v>
      </c>
      <c r="G543" s="415" t="s">
        <v>1750</v>
      </c>
      <c r="H543" s="444">
        <v>131</v>
      </c>
      <c r="I543" s="417" t="s">
        <v>2302</v>
      </c>
      <c r="J543" s="444">
        <v>0.5</v>
      </c>
      <c r="K543" s="444">
        <v>50</v>
      </c>
      <c r="L543" s="444"/>
      <c r="M543" s="444">
        <v>0</v>
      </c>
      <c r="N543" s="444">
        <v>0</v>
      </c>
      <c r="O543" s="444"/>
      <c r="P543" s="444"/>
      <c r="Q543" s="444">
        <v>0</v>
      </c>
      <c r="R543" s="444"/>
      <c r="S543" s="444">
        <v>7</v>
      </c>
      <c r="T543" s="444">
        <v>0</v>
      </c>
      <c r="U543" s="444">
        <v>0</v>
      </c>
      <c r="V543" s="444">
        <v>0</v>
      </c>
      <c r="W543" s="444">
        <v>0</v>
      </c>
      <c r="X543" s="418"/>
      <c r="Y543" s="445"/>
      <c r="Z543" s="420"/>
      <c r="AA543" s="421">
        <v>115.343</v>
      </c>
      <c r="AB543" s="421"/>
      <c r="AC543" s="454">
        <v>1</v>
      </c>
      <c r="AE543" s="445" t="s">
        <v>2449</v>
      </c>
      <c r="AF543" s="454">
        <v>1</v>
      </c>
      <c r="AG543" s="441">
        <v>43101</v>
      </c>
      <c r="AJ543" s="442">
        <v>43353</v>
      </c>
      <c r="AL543" s="446" t="s">
        <v>928</v>
      </c>
      <c r="AO543" s="445"/>
      <c r="AP543" s="454">
        <v>556683</v>
      </c>
      <c r="AQ543" s="443">
        <v>43353</v>
      </c>
      <c r="AR543" s="370">
        <v>0.3</v>
      </c>
      <c r="AT543" s="447"/>
      <c r="AU543" s="447"/>
      <c r="AV543" s="447"/>
      <c r="AY543" s="427" t="s">
        <v>1559</v>
      </c>
      <c r="AZ543" s="373"/>
      <c r="BB543" s="374" t="s">
        <v>2214</v>
      </c>
      <c r="BC543" s="445"/>
      <c r="BE543" s="448"/>
      <c r="BF543" s="449"/>
      <c r="BG543" s="450"/>
      <c r="BH543" s="445"/>
      <c r="BI543" s="491"/>
      <c r="BJ543" s="491">
        <v>29</v>
      </c>
      <c r="BK543" s="445" t="s">
        <v>3288</v>
      </c>
      <c r="BL543" s="445" t="s">
        <v>3289</v>
      </c>
      <c r="BM543" s="445"/>
      <c r="BN543" s="445"/>
      <c r="BO543" s="445"/>
      <c r="BP543" s="445"/>
      <c r="BQ543" s="445" t="s">
        <v>1269</v>
      </c>
      <c r="BR543" s="445">
        <v>2</v>
      </c>
      <c r="BS543" s="445"/>
      <c r="BT543" s="445"/>
      <c r="BU543" s="445"/>
      <c r="BV543" s="445"/>
      <c r="BW543" s="445" t="s">
        <v>2438</v>
      </c>
      <c r="BX543" s="445"/>
      <c r="BY543" s="445"/>
    </row>
    <row r="544" spans="1:77" ht="15">
      <c r="A544" s="370" t="s">
        <v>1269</v>
      </c>
      <c r="B544" s="415" t="s">
        <v>216</v>
      </c>
      <c r="C544" s="416" t="s">
        <v>2131</v>
      </c>
      <c r="D544" s="444">
        <v>0</v>
      </c>
      <c r="E544" s="415" t="s">
        <v>1749</v>
      </c>
      <c r="F544" s="444">
        <v>3</v>
      </c>
      <c r="G544" s="415" t="s">
        <v>1750</v>
      </c>
      <c r="H544" s="444">
        <v>85</v>
      </c>
      <c r="I544" s="417" t="s">
        <v>1694</v>
      </c>
      <c r="J544" s="444">
        <v>0.3</v>
      </c>
      <c r="K544" s="444">
        <v>15</v>
      </c>
      <c r="L544" s="444"/>
      <c r="M544" s="444">
        <v>0</v>
      </c>
      <c r="N544" s="444">
        <v>0</v>
      </c>
      <c r="O544" s="444"/>
      <c r="P544" s="444"/>
      <c r="Q544" s="444">
        <v>0</v>
      </c>
      <c r="R544" s="444"/>
      <c r="S544" s="444">
        <v>10</v>
      </c>
      <c r="T544" s="444">
        <v>0</v>
      </c>
      <c r="U544" s="444">
        <v>0</v>
      </c>
      <c r="V544" s="444">
        <v>0</v>
      </c>
      <c r="W544" s="444">
        <v>0</v>
      </c>
      <c r="X544" s="418"/>
      <c r="Y544" s="445"/>
      <c r="Z544" s="420"/>
      <c r="AA544" s="421">
        <v>68.492999999999995</v>
      </c>
      <c r="AB544" s="421"/>
      <c r="AC544" s="454">
        <v>2</v>
      </c>
      <c r="AE544" s="445" t="s">
        <v>2450</v>
      </c>
      <c r="AF544" s="454">
        <v>1</v>
      </c>
      <c r="AG544" s="441">
        <v>43101</v>
      </c>
      <c r="AJ544" s="442">
        <v>43353</v>
      </c>
      <c r="AL544" s="446" t="s">
        <v>1772</v>
      </c>
      <c r="AO544" s="445"/>
      <c r="AP544" s="454">
        <v>556682</v>
      </c>
      <c r="AQ544" s="443">
        <v>43353</v>
      </c>
      <c r="AR544" s="370">
        <v>0.3</v>
      </c>
      <c r="AT544" s="447"/>
      <c r="AU544" s="447"/>
      <c r="AV544" s="447"/>
      <c r="AY544" s="427" t="s">
        <v>1559</v>
      </c>
      <c r="AZ544" s="373"/>
      <c r="BB544" s="374" t="s">
        <v>2214</v>
      </c>
      <c r="BC544" s="445"/>
      <c r="BE544" s="448"/>
      <c r="BF544" s="449"/>
      <c r="BG544" s="450"/>
      <c r="BH544" s="445"/>
      <c r="BI544" s="491"/>
      <c r="BJ544" s="491">
        <v>30</v>
      </c>
      <c r="BK544" s="445" t="s">
        <v>3261</v>
      </c>
      <c r="BL544" s="445" t="s">
        <v>3290</v>
      </c>
      <c r="BM544" s="445"/>
      <c r="BN544" s="445"/>
      <c r="BO544" s="445"/>
      <c r="BP544" s="445"/>
      <c r="BQ544" s="445" t="s">
        <v>1269</v>
      </c>
      <c r="BR544" s="445">
        <v>2</v>
      </c>
      <c r="BS544" s="445"/>
      <c r="BT544" s="445"/>
      <c r="BU544" s="445"/>
      <c r="BV544" s="445"/>
      <c r="BW544" s="445" t="s">
        <v>2438</v>
      </c>
      <c r="BX544" s="445"/>
      <c r="BY544" s="445"/>
    </row>
    <row r="545" spans="1:77" ht="15">
      <c r="A545" s="370" t="s">
        <v>1269</v>
      </c>
      <c r="B545" s="415" t="s">
        <v>19</v>
      </c>
      <c r="C545" s="416" t="s">
        <v>1682</v>
      </c>
      <c r="D545" s="444">
        <v>0</v>
      </c>
      <c r="E545" s="415" t="s">
        <v>1749</v>
      </c>
      <c r="F545" s="444">
        <v>3</v>
      </c>
      <c r="G545" s="415" t="s">
        <v>1750</v>
      </c>
      <c r="H545" s="444">
        <v>17</v>
      </c>
      <c r="I545" s="417" t="s">
        <v>1632</v>
      </c>
      <c r="J545" s="444">
        <v>6.8</v>
      </c>
      <c r="K545" s="444">
        <v>1332</v>
      </c>
      <c r="L545" s="444"/>
      <c r="M545" s="444">
        <v>0</v>
      </c>
      <c r="N545" s="444">
        <v>9</v>
      </c>
      <c r="O545" s="444"/>
      <c r="P545" s="444"/>
      <c r="Q545" s="444">
        <v>0</v>
      </c>
      <c r="R545" s="444"/>
      <c r="S545" s="444">
        <v>0</v>
      </c>
      <c r="T545" s="444">
        <v>217</v>
      </c>
      <c r="U545" s="444">
        <v>0</v>
      </c>
      <c r="V545" s="444">
        <v>0</v>
      </c>
      <c r="W545" s="444">
        <v>0</v>
      </c>
      <c r="X545" s="418"/>
      <c r="Y545" s="445"/>
      <c r="Z545" s="420"/>
      <c r="AA545" s="421">
        <v>109.27200000000001</v>
      </c>
      <c r="AB545" s="421"/>
      <c r="AC545" s="454">
        <v>36</v>
      </c>
      <c r="AE545" s="445" t="s">
        <v>2451</v>
      </c>
      <c r="AF545" s="454">
        <v>1</v>
      </c>
      <c r="AG545" s="441">
        <v>43101</v>
      </c>
      <c r="AJ545" s="442">
        <v>43350</v>
      </c>
      <c r="AL545" s="446" t="s">
        <v>999</v>
      </c>
      <c r="AO545" s="445"/>
      <c r="AP545" s="454">
        <v>556681</v>
      </c>
      <c r="AQ545" s="443">
        <v>43350</v>
      </c>
      <c r="AR545" s="370">
        <v>0.3</v>
      </c>
      <c r="AT545" s="447"/>
      <c r="AU545" s="447"/>
      <c r="AV545" s="447"/>
      <c r="AY545" s="427" t="s">
        <v>1559</v>
      </c>
      <c r="AZ545" s="373"/>
      <c r="BB545" s="374" t="s">
        <v>2214</v>
      </c>
      <c r="BC545" s="445"/>
      <c r="BE545" s="448"/>
      <c r="BF545" s="449"/>
      <c r="BG545" s="450"/>
      <c r="BH545" s="445"/>
      <c r="BI545" s="491"/>
      <c r="BJ545" s="491">
        <v>1</v>
      </c>
      <c r="BK545" s="445" t="s">
        <v>2810</v>
      </c>
      <c r="BL545" s="445" t="s">
        <v>3291</v>
      </c>
      <c r="BM545" s="445"/>
      <c r="BN545" s="445"/>
      <c r="BO545" s="445"/>
      <c r="BP545" s="445"/>
      <c r="BQ545" s="445" t="s">
        <v>1269</v>
      </c>
      <c r="BR545" s="445">
        <v>2</v>
      </c>
      <c r="BS545" s="445"/>
      <c r="BT545" s="445"/>
      <c r="BU545" s="445"/>
      <c r="BV545" s="445"/>
      <c r="BW545" s="445" t="s">
        <v>2438</v>
      </c>
      <c r="BX545" s="445"/>
      <c r="BY545" s="445"/>
    </row>
    <row r="546" spans="1:77" ht="15">
      <c r="A546" s="370" t="s">
        <v>1269</v>
      </c>
      <c r="B546" s="415" t="s">
        <v>19</v>
      </c>
      <c r="C546" s="416" t="s">
        <v>1682</v>
      </c>
      <c r="D546" s="444">
        <v>0</v>
      </c>
      <c r="E546" s="415" t="s">
        <v>1749</v>
      </c>
      <c r="F546" s="444">
        <v>3</v>
      </c>
      <c r="G546" s="415" t="s">
        <v>1750</v>
      </c>
      <c r="H546" s="444">
        <v>46</v>
      </c>
      <c r="I546" s="417" t="s">
        <v>1664</v>
      </c>
      <c r="J546" s="444">
        <v>11.3</v>
      </c>
      <c r="K546" s="444">
        <v>667</v>
      </c>
      <c r="L546" s="444"/>
      <c r="M546" s="444">
        <v>0</v>
      </c>
      <c r="N546" s="444">
        <v>20</v>
      </c>
      <c r="O546" s="444"/>
      <c r="P546" s="444"/>
      <c r="Q546" s="444">
        <v>0</v>
      </c>
      <c r="R546" s="444"/>
      <c r="S546" s="444">
        <v>0</v>
      </c>
      <c r="T546" s="444">
        <v>186</v>
      </c>
      <c r="U546" s="444">
        <v>0</v>
      </c>
      <c r="V546" s="444">
        <v>0</v>
      </c>
      <c r="W546" s="444">
        <v>0</v>
      </c>
      <c r="X546" s="418"/>
      <c r="Y546" s="445"/>
      <c r="Z546" s="420"/>
      <c r="AA546" s="421">
        <v>90.977999999999994</v>
      </c>
      <c r="AB546" s="421"/>
      <c r="AC546" s="454">
        <v>21</v>
      </c>
      <c r="AE546" s="445" t="s">
        <v>2452</v>
      </c>
      <c r="AF546" s="454">
        <v>1</v>
      </c>
      <c r="AG546" s="441">
        <v>43101</v>
      </c>
      <c r="AJ546" s="442">
        <v>43350</v>
      </c>
      <c r="AL546" s="446" t="s">
        <v>1037</v>
      </c>
      <c r="AO546" s="445"/>
      <c r="AP546" s="454">
        <v>556681</v>
      </c>
      <c r="AQ546" s="443">
        <v>43350</v>
      </c>
      <c r="AR546" s="370">
        <v>0.3</v>
      </c>
      <c r="AT546" s="447"/>
      <c r="AU546" s="447"/>
      <c r="AV546" s="447"/>
      <c r="AY546" s="427" t="s">
        <v>1559</v>
      </c>
      <c r="AZ546" s="373"/>
      <c r="BB546" s="374" t="s">
        <v>2214</v>
      </c>
      <c r="BC546" s="445"/>
      <c r="BE546" s="448"/>
      <c r="BF546" s="449"/>
      <c r="BG546" s="450"/>
      <c r="BH546" s="445"/>
      <c r="BI546" s="491"/>
      <c r="BJ546" s="491">
        <v>2</v>
      </c>
      <c r="BK546" s="445" t="s">
        <v>3292</v>
      </c>
      <c r="BL546" s="445" t="s">
        <v>3293</v>
      </c>
      <c r="BM546" s="445"/>
      <c r="BN546" s="445"/>
      <c r="BO546" s="445"/>
      <c r="BP546" s="445"/>
      <c r="BQ546" s="445" t="s">
        <v>1269</v>
      </c>
      <c r="BR546" s="445">
        <v>2</v>
      </c>
      <c r="BS546" s="445"/>
      <c r="BT546" s="445"/>
      <c r="BU546" s="445"/>
      <c r="BV546" s="445"/>
      <c r="BW546" s="445" t="s">
        <v>2438</v>
      </c>
      <c r="BX546" s="445"/>
      <c r="BY546" s="445"/>
    </row>
    <row r="547" spans="1:77" ht="15">
      <c r="A547" s="370" t="s">
        <v>1269</v>
      </c>
      <c r="B547" s="415" t="s">
        <v>19</v>
      </c>
      <c r="C547" s="416" t="s">
        <v>1682</v>
      </c>
      <c r="D547" s="444">
        <v>0</v>
      </c>
      <c r="E547" s="415" t="s">
        <v>1749</v>
      </c>
      <c r="F547" s="444">
        <v>3</v>
      </c>
      <c r="G547" s="415" t="s">
        <v>1750</v>
      </c>
      <c r="H547" s="444">
        <v>79</v>
      </c>
      <c r="I547" s="417" t="s">
        <v>1684</v>
      </c>
      <c r="J547" s="444">
        <v>2.5</v>
      </c>
      <c r="K547" s="444">
        <v>220</v>
      </c>
      <c r="L547" s="444"/>
      <c r="M547" s="444">
        <v>0</v>
      </c>
      <c r="N547" s="444">
        <v>2</v>
      </c>
      <c r="O547" s="444"/>
      <c r="P547" s="444"/>
      <c r="Q547" s="444">
        <v>0</v>
      </c>
      <c r="R547" s="444"/>
      <c r="S547" s="444">
        <v>0</v>
      </c>
      <c r="T547" s="444">
        <v>80</v>
      </c>
      <c r="U547" s="444">
        <v>0</v>
      </c>
      <c r="V547" s="444">
        <v>0</v>
      </c>
      <c r="W547" s="444">
        <v>0</v>
      </c>
      <c r="X547" s="418"/>
      <c r="Y547" s="445"/>
      <c r="Z547" s="420"/>
      <c r="AA547" s="421">
        <v>83.980999999999995</v>
      </c>
      <c r="AB547" s="421"/>
      <c r="AC547" s="454">
        <v>10</v>
      </c>
      <c r="AE547" s="445" t="s">
        <v>2453</v>
      </c>
      <c r="AF547" s="454">
        <v>1</v>
      </c>
      <c r="AG547" s="441">
        <v>43101</v>
      </c>
      <c r="AJ547" s="442">
        <v>43350</v>
      </c>
      <c r="AL547" s="446" t="s">
        <v>1006</v>
      </c>
      <c r="AO547" s="445"/>
      <c r="AP547" s="454">
        <v>556681</v>
      </c>
      <c r="AQ547" s="443">
        <v>43350</v>
      </c>
      <c r="AR547" s="370">
        <v>0.3</v>
      </c>
      <c r="AT547" s="447"/>
      <c r="AU547" s="447"/>
      <c r="AV547" s="447"/>
      <c r="AY547" s="427" t="s">
        <v>1559</v>
      </c>
      <c r="AZ547" s="373"/>
      <c r="BB547" s="374" t="s">
        <v>2214</v>
      </c>
      <c r="BC547" s="445"/>
      <c r="BE547" s="448"/>
      <c r="BF547" s="449"/>
      <c r="BG547" s="450"/>
      <c r="BH547" s="445"/>
      <c r="BI547" s="491"/>
      <c r="BJ547" s="491">
        <v>3</v>
      </c>
      <c r="BK547" s="445" t="s">
        <v>3294</v>
      </c>
      <c r="BL547" s="445" t="s">
        <v>3295</v>
      </c>
      <c r="BM547" s="445"/>
      <c r="BN547" s="445"/>
      <c r="BO547" s="445"/>
      <c r="BP547" s="445"/>
      <c r="BQ547" s="445" t="s">
        <v>1269</v>
      </c>
      <c r="BR547" s="445">
        <v>2</v>
      </c>
      <c r="BS547" s="445"/>
      <c r="BT547" s="445"/>
      <c r="BU547" s="445"/>
      <c r="BV547" s="445"/>
      <c r="BW547" s="445" t="s">
        <v>2438</v>
      </c>
      <c r="BX547" s="445"/>
      <c r="BY547" s="445"/>
    </row>
    <row r="548" spans="1:77" ht="15">
      <c r="A548" s="370" t="s">
        <v>1269</v>
      </c>
      <c r="B548" s="415" t="s">
        <v>19</v>
      </c>
      <c r="C548" s="416" t="s">
        <v>1682</v>
      </c>
      <c r="D548" s="444">
        <v>0</v>
      </c>
      <c r="E548" s="415" t="s">
        <v>1749</v>
      </c>
      <c r="F548" s="444">
        <v>3</v>
      </c>
      <c r="G548" s="415" t="s">
        <v>1750</v>
      </c>
      <c r="H548" s="444">
        <v>81</v>
      </c>
      <c r="I548" s="417" t="s">
        <v>1660</v>
      </c>
      <c r="J548" s="444">
        <v>4.4000000000000004</v>
      </c>
      <c r="K548" s="444">
        <v>207</v>
      </c>
      <c r="L548" s="444"/>
      <c r="M548" s="444">
        <v>0</v>
      </c>
      <c r="N548" s="444">
        <v>8</v>
      </c>
      <c r="O548" s="444"/>
      <c r="P548" s="444"/>
      <c r="Q548" s="444">
        <v>0</v>
      </c>
      <c r="R548" s="444"/>
      <c r="S548" s="444">
        <v>0</v>
      </c>
      <c r="T548" s="444">
        <v>88</v>
      </c>
      <c r="U548" s="444">
        <v>0</v>
      </c>
      <c r="V548" s="444">
        <v>0</v>
      </c>
      <c r="W548" s="444">
        <v>0</v>
      </c>
      <c r="X548" s="418"/>
      <c r="Y548" s="445"/>
      <c r="Z548" s="420"/>
      <c r="AA548" s="421">
        <v>82.436999999999998</v>
      </c>
      <c r="AB548" s="421"/>
      <c r="AC548" s="454">
        <v>11</v>
      </c>
      <c r="AE548" s="445" t="s">
        <v>2454</v>
      </c>
      <c r="AF548" s="454">
        <v>1</v>
      </c>
      <c r="AG548" s="441">
        <v>43101</v>
      </c>
      <c r="AJ548" s="442">
        <v>43350</v>
      </c>
      <c r="AL548" s="446" t="s">
        <v>1006</v>
      </c>
      <c r="AO548" s="445"/>
      <c r="AP548" s="454">
        <v>556681</v>
      </c>
      <c r="AQ548" s="443">
        <v>43350</v>
      </c>
      <c r="AR548" s="370">
        <v>0.3</v>
      </c>
      <c r="AT548" s="447"/>
      <c r="AU548" s="447"/>
      <c r="AV548" s="447"/>
      <c r="AY548" s="427" t="s">
        <v>1559</v>
      </c>
      <c r="AZ548" s="373"/>
      <c r="BB548" s="374" t="s">
        <v>2214</v>
      </c>
      <c r="BC548" s="445"/>
      <c r="BE548" s="448"/>
      <c r="BF548" s="449"/>
      <c r="BG548" s="450"/>
      <c r="BH548" s="445"/>
      <c r="BI548" s="491"/>
      <c r="BJ548" s="491">
        <v>4</v>
      </c>
      <c r="BK548" s="445" t="s">
        <v>3178</v>
      </c>
      <c r="BL548" s="445" t="s">
        <v>3296</v>
      </c>
      <c r="BM548" s="445"/>
      <c r="BN548" s="445"/>
      <c r="BO548" s="445"/>
      <c r="BP548" s="445"/>
      <c r="BQ548" s="445" t="s">
        <v>1269</v>
      </c>
      <c r="BR548" s="445">
        <v>2</v>
      </c>
      <c r="BS548" s="445"/>
      <c r="BT548" s="445"/>
      <c r="BU548" s="445"/>
      <c r="BV548" s="445"/>
      <c r="BW548" s="445" t="s">
        <v>2438</v>
      </c>
      <c r="BX548" s="445"/>
      <c r="BY548" s="445"/>
    </row>
    <row r="549" spans="1:77" ht="15">
      <c r="A549" s="370" t="s">
        <v>1269</v>
      </c>
      <c r="B549" s="415" t="s">
        <v>177</v>
      </c>
      <c r="C549" s="416" t="s">
        <v>1682</v>
      </c>
      <c r="D549" s="444">
        <v>0</v>
      </c>
      <c r="E549" s="415" t="s">
        <v>1749</v>
      </c>
      <c r="F549" s="444">
        <v>3</v>
      </c>
      <c r="G549" s="415" t="s">
        <v>1750</v>
      </c>
      <c r="H549" s="444">
        <v>44</v>
      </c>
      <c r="I549" s="417" t="s">
        <v>1659</v>
      </c>
      <c r="J549" s="444">
        <v>3.5</v>
      </c>
      <c r="K549" s="444">
        <v>125</v>
      </c>
      <c r="L549" s="444"/>
      <c r="M549" s="444">
        <v>0</v>
      </c>
      <c r="N549" s="444">
        <v>7</v>
      </c>
      <c r="O549" s="444"/>
      <c r="P549" s="444"/>
      <c r="Q549" s="444">
        <v>0</v>
      </c>
      <c r="R549" s="444"/>
      <c r="S549" s="444">
        <v>0</v>
      </c>
      <c r="T549" s="444">
        <v>41</v>
      </c>
      <c r="U549" s="444">
        <v>0</v>
      </c>
      <c r="V549" s="444">
        <v>0</v>
      </c>
      <c r="W549" s="444">
        <v>3</v>
      </c>
      <c r="X549" s="418"/>
      <c r="Y549" s="445"/>
      <c r="Z549" s="420"/>
      <c r="AA549" s="421">
        <v>85.04</v>
      </c>
      <c r="AB549" s="421"/>
      <c r="AC549" s="454">
        <v>4</v>
      </c>
      <c r="AE549" s="445" t="s">
        <v>2455</v>
      </c>
      <c r="AF549" s="454">
        <v>1</v>
      </c>
      <c r="AG549" s="441">
        <v>43101</v>
      </c>
      <c r="AJ549" s="442">
        <v>43349</v>
      </c>
      <c r="AL549" s="446" t="s">
        <v>1015</v>
      </c>
      <c r="AO549" s="445"/>
      <c r="AP549" s="454">
        <v>556680</v>
      </c>
      <c r="AQ549" s="443">
        <v>43349</v>
      </c>
      <c r="AR549" s="370">
        <v>0.3</v>
      </c>
      <c r="AT549" s="447"/>
      <c r="AU549" s="447"/>
      <c r="AV549" s="447"/>
      <c r="AY549" s="427" t="s">
        <v>1717</v>
      </c>
      <c r="AZ549" s="373"/>
      <c r="BB549" s="374" t="s">
        <v>1727</v>
      </c>
      <c r="BC549" s="445"/>
      <c r="BE549" s="448"/>
      <c r="BF549" s="449"/>
      <c r="BG549" s="450"/>
      <c r="BH549" s="445"/>
      <c r="BI549" s="491"/>
      <c r="BJ549" s="491">
        <v>4</v>
      </c>
      <c r="BK549" s="445" t="s">
        <v>3297</v>
      </c>
      <c r="BL549" s="445" t="s">
        <v>3298</v>
      </c>
      <c r="BM549" s="445"/>
      <c r="BN549" s="445"/>
      <c r="BO549" s="445"/>
      <c r="BP549" s="445"/>
      <c r="BQ549" s="445" t="s">
        <v>1269</v>
      </c>
      <c r="BR549" s="445">
        <v>2</v>
      </c>
      <c r="BS549" s="445"/>
      <c r="BT549" s="445"/>
      <c r="BU549" s="445"/>
      <c r="BV549" s="445"/>
      <c r="BW549" s="445" t="s">
        <v>2438</v>
      </c>
      <c r="BX549" s="445"/>
      <c r="BY549" s="445"/>
    </row>
    <row r="550" spans="1:77" ht="15">
      <c r="A550" s="370" t="s">
        <v>1269</v>
      </c>
      <c r="B550" s="415" t="s">
        <v>177</v>
      </c>
      <c r="C550" s="416" t="s">
        <v>1682</v>
      </c>
      <c r="D550" s="444">
        <v>0</v>
      </c>
      <c r="E550" s="415" t="s">
        <v>1749</v>
      </c>
      <c r="F550" s="444">
        <v>3</v>
      </c>
      <c r="G550" s="415" t="s">
        <v>1750</v>
      </c>
      <c r="H550" s="444">
        <v>44</v>
      </c>
      <c r="I550" s="417" t="s">
        <v>1686</v>
      </c>
      <c r="J550" s="444">
        <v>0.8</v>
      </c>
      <c r="K550" s="444">
        <v>107</v>
      </c>
      <c r="L550" s="444"/>
      <c r="M550" s="444">
        <v>0</v>
      </c>
      <c r="N550" s="444">
        <v>4</v>
      </c>
      <c r="O550" s="444"/>
      <c r="P550" s="444"/>
      <c r="Q550" s="444">
        <v>0</v>
      </c>
      <c r="R550" s="444"/>
      <c r="S550" s="444">
        <v>0</v>
      </c>
      <c r="T550" s="444">
        <v>31</v>
      </c>
      <c r="U550" s="444">
        <v>0</v>
      </c>
      <c r="V550" s="444">
        <v>0</v>
      </c>
      <c r="W550" s="444">
        <v>2</v>
      </c>
      <c r="X550" s="418"/>
      <c r="Y550" s="445"/>
      <c r="Z550" s="420"/>
      <c r="AA550" s="421">
        <v>85.138000000000005</v>
      </c>
      <c r="AB550" s="421"/>
      <c r="AC550" s="454">
        <v>4</v>
      </c>
      <c r="AE550" s="445" t="s">
        <v>2456</v>
      </c>
      <c r="AF550" s="454">
        <v>1</v>
      </c>
      <c r="AG550" s="441">
        <v>43101</v>
      </c>
      <c r="AJ550" s="442">
        <v>43349</v>
      </c>
      <c r="AL550" s="446" t="s">
        <v>1015</v>
      </c>
      <c r="AO550" s="445"/>
      <c r="AP550" s="454">
        <v>556680</v>
      </c>
      <c r="AQ550" s="443">
        <v>43349</v>
      </c>
      <c r="AR550" s="370">
        <v>0.3</v>
      </c>
      <c r="AT550" s="447"/>
      <c r="AU550" s="447"/>
      <c r="AV550" s="447"/>
      <c r="AY550" s="427" t="s">
        <v>1717</v>
      </c>
      <c r="AZ550" s="373"/>
      <c r="BB550" s="374" t="s">
        <v>1727</v>
      </c>
      <c r="BC550" s="445"/>
      <c r="BE550" s="448"/>
      <c r="BF550" s="449"/>
      <c r="BG550" s="450"/>
      <c r="BH550" s="445"/>
      <c r="BI550" s="491"/>
      <c r="BJ550" s="491">
        <v>3</v>
      </c>
      <c r="BK550" s="445" t="s">
        <v>3299</v>
      </c>
      <c r="BL550" s="445" t="s">
        <v>3300</v>
      </c>
      <c r="BM550" s="445"/>
      <c r="BN550" s="445"/>
      <c r="BO550" s="445"/>
      <c r="BP550" s="445"/>
      <c r="BQ550" s="445" t="s">
        <v>1269</v>
      </c>
      <c r="BR550" s="445">
        <v>2</v>
      </c>
      <c r="BS550" s="445"/>
      <c r="BT550" s="445"/>
      <c r="BU550" s="445"/>
      <c r="BV550" s="445"/>
      <c r="BW550" s="445" t="s">
        <v>2438</v>
      </c>
      <c r="BX550" s="445"/>
      <c r="BY550" s="445"/>
    </row>
    <row r="551" spans="1:77" ht="15">
      <c r="A551" s="370" t="s">
        <v>1269</v>
      </c>
      <c r="B551" s="415" t="s">
        <v>177</v>
      </c>
      <c r="C551" s="416" t="s">
        <v>1682</v>
      </c>
      <c r="D551" s="444">
        <v>0</v>
      </c>
      <c r="E551" s="415" t="s">
        <v>1749</v>
      </c>
      <c r="F551" s="444">
        <v>3</v>
      </c>
      <c r="G551" s="415" t="s">
        <v>1750</v>
      </c>
      <c r="H551" s="444">
        <v>32</v>
      </c>
      <c r="I551" s="417" t="s">
        <v>1685</v>
      </c>
      <c r="J551" s="444">
        <v>0.5</v>
      </c>
      <c r="K551" s="444">
        <v>50</v>
      </c>
      <c r="L551" s="444"/>
      <c r="M551" s="444">
        <v>0</v>
      </c>
      <c r="N551" s="444">
        <v>0</v>
      </c>
      <c r="O551" s="444"/>
      <c r="P551" s="444"/>
      <c r="Q551" s="444">
        <v>0</v>
      </c>
      <c r="R551" s="444"/>
      <c r="S551" s="444">
        <v>0</v>
      </c>
      <c r="T551" s="444">
        <v>12</v>
      </c>
      <c r="U551" s="444">
        <v>0</v>
      </c>
      <c r="V551" s="444">
        <v>0</v>
      </c>
      <c r="W551" s="444">
        <v>0</v>
      </c>
      <c r="X551" s="418"/>
      <c r="Y551" s="445"/>
      <c r="Z551" s="420"/>
      <c r="AA551" s="421">
        <v>99.034000000000006</v>
      </c>
      <c r="AB551" s="421"/>
      <c r="AC551" s="454">
        <v>1</v>
      </c>
      <c r="AE551" s="445" t="s">
        <v>2457</v>
      </c>
      <c r="AF551" s="454">
        <v>1</v>
      </c>
      <c r="AG551" s="441">
        <v>43101</v>
      </c>
      <c r="AJ551" s="442">
        <v>43349</v>
      </c>
      <c r="AL551" s="446" t="s">
        <v>1681</v>
      </c>
      <c r="AO551" s="445"/>
      <c r="AP551" s="454">
        <v>556680</v>
      </c>
      <c r="AQ551" s="443">
        <v>43349</v>
      </c>
      <c r="AR551" s="370">
        <v>0.3</v>
      </c>
      <c r="AT551" s="447"/>
      <c r="AU551" s="447"/>
      <c r="AV551" s="447"/>
      <c r="AY551" s="427" t="s">
        <v>1717</v>
      </c>
      <c r="AZ551" s="373"/>
      <c r="BB551" s="374" t="s">
        <v>1727</v>
      </c>
      <c r="BC551" s="445"/>
      <c r="BE551" s="448"/>
      <c r="BF551" s="449"/>
      <c r="BG551" s="450"/>
      <c r="BH551" s="445"/>
      <c r="BI551" s="491"/>
      <c r="BJ551" s="491">
        <v>5</v>
      </c>
      <c r="BK551" s="445" t="s">
        <v>197</v>
      </c>
      <c r="BL551" s="445" t="s">
        <v>3301</v>
      </c>
      <c r="BM551" s="445"/>
      <c r="BN551" s="445"/>
      <c r="BO551" s="445"/>
      <c r="BP551" s="445"/>
      <c r="BQ551" s="445" t="s">
        <v>1269</v>
      </c>
      <c r="BR551" s="445">
        <v>2</v>
      </c>
      <c r="BS551" s="445"/>
      <c r="BT551" s="445"/>
      <c r="BU551" s="445"/>
      <c r="BV551" s="445"/>
      <c r="BW551" s="445" t="s">
        <v>2438</v>
      </c>
      <c r="BX551" s="445"/>
      <c r="BY551" s="445"/>
    </row>
    <row r="552" spans="1:77" ht="15">
      <c r="A552" s="370" t="s">
        <v>1269</v>
      </c>
      <c r="B552" s="415" t="s">
        <v>132</v>
      </c>
      <c r="C552" s="416" t="s">
        <v>1682</v>
      </c>
      <c r="D552" s="444">
        <v>0</v>
      </c>
      <c r="E552" s="415" t="s">
        <v>1749</v>
      </c>
      <c r="F552" s="444">
        <v>3</v>
      </c>
      <c r="G552" s="415" t="s">
        <v>1750</v>
      </c>
      <c r="H552" s="444">
        <v>88</v>
      </c>
      <c r="I552" s="417" t="s">
        <v>1683</v>
      </c>
      <c r="J552" s="444">
        <v>3</v>
      </c>
      <c r="K552" s="444">
        <v>170</v>
      </c>
      <c r="L552" s="444"/>
      <c r="M552" s="444">
        <v>0</v>
      </c>
      <c r="N552" s="444">
        <v>0</v>
      </c>
      <c r="O552" s="444"/>
      <c r="P552" s="444"/>
      <c r="Q552" s="444">
        <v>0</v>
      </c>
      <c r="R552" s="444"/>
      <c r="S552" s="444">
        <v>0</v>
      </c>
      <c r="T552" s="444">
        <v>70</v>
      </c>
      <c r="U552" s="444">
        <v>0</v>
      </c>
      <c r="V552" s="444">
        <v>0</v>
      </c>
      <c r="W552" s="444">
        <v>0</v>
      </c>
      <c r="X552" s="418"/>
      <c r="Y552" s="445"/>
      <c r="Z552" s="420"/>
      <c r="AA552" s="421">
        <v>89.841999999999999</v>
      </c>
      <c r="AB552" s="421"/>
      <c r="AC552" s="454">
        <v>1</v>
      </c>
      <c r="AE552" s="445" t="s">
        <v>2458</v>
      </c>
      <c r="AF552" s="454">
        <v>1</v>
      </c>
      <c r="AG552" s="441">
        <v>43101</v>
      </c>
      <c r="AJ552" s="442">
        <v>43346</v>
      </c>
      <c r="AL552" s="446" t="s">
        <v>919</v>
      </c>
      <c r="AO552" s="445"/>
      <c r="AP552" s="454">
        <v>556679</v>
      </c>
      <c r="AQ552" s="443">
        <v>43333</v>
      </c>
      <c r="AR552" s="370">
        <v>0.3</v>
      </c>
      <c r="AT552" s="447"/>
      <c r="AU552" s="447"/>
      <c r="AV552" s="447"/>
      <c r="AY552" s="427" t="s">
        <v>1559</v>
      </c>
      <c r="AZ552" s="373"/>
      <c r="BB552" s="374" t="s">
        <v>2214</v>
      </c>
      <c r="BC552" s="445"/>
      <c r="BE552" s="448"/>
      <c r="BF552" s="449"/>
      <c r="BG552" s="450"/>
      <c r="BH552" s="445"/>
      <c r="BI552" s="491"/>
      <c r="BJ552" s="491">
        <v>1</v>
      </c>
      <c r="BK552" s="445" t="s">
        <v>3302</v>
      </c>
      <c r="BL552" s="445" t="s">
        <v>3303</v>
      </c>
      <c r="BM552" s="445"/>
      <c r="BN552" s="445"/>
      <c r="BO552" s="445"/>
      <c r="BP552" s="445"/>
      <c r="BQ552" s="445" t="s">
        <v>1269</v>
      </c>
      <c r="BR552" s="445">
        <v>2</v>
      </c>
      <c r="BS552" s="445"/>
      <c r="BT552" s="445"/>
      <c r="BU552" s="445"/>
      <c r="BV552" s="445"/>
      <c r="BW552" s="445" t="s">
        <v>2438</v>
      </c>
      <c r="BX552" s="445"/>
      <c r="BY552" s="445"/>
    </row>
    <row r="553" spans="1:77" ht="15">
      <c r="A553" s="370" t="s">
        <v>1783</v>
      </c>
      <c r="B553" s="415" t="s">
        <v>132</v>
      </c>
      <c r="C553" s="416" t="s">
        <v>2093</v>
      </c>
      <c r="D553" s="444">
        <v>0</v>
      </c>
      <c r="E553" s="415" t="s">
        <v>1749</v>
      </c>
      <c r="F553" s="444">
        <v>3</v>
      </c>
      <c r="G553" s="415" t="s">
        <v>1750</v>
      </c>
      <c r="H553" s="444">
        <v>67</v>
      </c>
      <c r="I553" s="417" t="s">
        <v>1683</v>
      </c>
      <c r="J553" s="444">
        <v>4.7</v>
      </c>
      <c r="K553" s="444">
        <v>0</v>
      </c>
      <c r="L553" s="444"/>
      <c r="M553" s="444">
        <v>0</v>
      </c>
      <c r="N553" s="444">
        <v>0</v>
      </c>
      <c r="O553" s="444"/>
      <c r="P553" s="444"/>
      <c r="Q553" s="444">
        <v>375</v>
      </c>
      <c r="R553" s="444"/>
      <c r="S553" s="444">
        <v>0</v>
      </c>
      <c r="T553" s="444">
        <v>0</v>
      </c>
      <c r="U553" s="444"/>
      <c r="V553" s="444">
        <v>0</v>
      </c>
      <c r="W553" s="444">
        <v>0</v>
      </c>
      <c r="X553" s="418"/>
      <c r="Y553" s="445"/>
      <c r="Z553" s="420"/>
      <c r="AA553" s="421">
        <v>185.63</v>
      </c>
      <c r="AB553" s="421"/>
      <c r="AC553" s="454">
        <v>23</v>
      </c>
      <c r="AE553" s="445" t="s">
        <v>2459</v>
      </c>
      <c r="AF553" s="454">
        <v>1</v>
      </c>
      <c r="AG553" s="441">
        <v>43101</v>
      </c>
      <c r="AJ553" s="442">
        <v>43346</v>
      </c>
      <c r="AL553" s="446" t="s">
        <v>924</v>
      </c>
      <c r="AO553" s="445"/>
      <c r="AP553" s="454">
        <v>556675</v>
      </c>
      <c r="AQ553" s="443">
        <v>43333</v>
      </c>
      <c r="AR553" s="370">
        <v>0.5</v>
      </c>
      <c r="AT553" s="447"/>
      <c r="AU553" s="447"/>
      <c r="AV553" s="447"/>
      <c r="AY553" s="427" t="s">
        <v>1559</v>
      </c>
      <c r="AZ553" s="373"/>
      <c r="BB553" s="374" t="s">
        <v>2214</v>
      </c>
      <c r="BC553" s="445"/>
      <c r="BE553" s="448"/>
      <c r="BF553" s="449"/>
      <c r="BG553" s="450"/>
      <c r="BH553" s="445"/>
      <c r="BI553" s="491"/>
      <c r="BJ553" s="491">
        <v>2</v>
      </c>
      <c r="BK553" s="445" t="s">
        <v>181</v>
      </c>
      <c r="BL553" s="445" t="s">
        <v>3304</v>
      </c>
      <c r="BM553" s="445"/>
      <c r="BN553" s="445"/>
      <c r="BO553" s="445"/>
      <c r="BP553" s="445"/>
      <c r="BQ553" s="445" t="s">
        <v>1783</v>
      </c>
      <c r="BR553" s="445">
        <v>2</v>
      </c>
      <c r="BS553" s="445"/>
      <c r="BT553" s="445"/>
      <c r="BU553" s="445"/>
      <c r="BV553" s="445"/>
      <c r="BW553" s="445" t="s">
        <v>2438</v>
      </c>
      <c r="BX553" s="445"/>
      <c r="BY553" s="445"/>
    </row>
    <row r="554" spans="1:77" ht="15">
      <c r="A554" s="370" t="s">
        <v>31</v>
      </c>
      <c r="B554" s="415" t="s">
        <v>85</v>
      </c>
      <c r="C554" s="416" t="s">
        <v>31</v>
      </c>
      <c r="D554" s="444">
        <v>0</v>
      </c>
      <c r="E554" s="415" t="s">
        <v>1716</v>
      </c>
      <c r="F554" s="444">
        <v>3</v>
      </c>
      <c r="G554" s="415" t="s">
        <v>1661</v>
      </c>
      <c r="H554" s="444">
        <v>150</v>
      </c>
      <c r="I554" s="417" t="s">
        <v>1692</v>
      </c>
      <c r="J554" s="444">
        <v>0.6</v>
      </c>
      <c r="K554" s="444">
        <v>336</v>
      </c>
      <c r="L554" s="444">
        <v>6</v>
      </c>
      <c r="M554" s="444">
        <v>5</v>
      </c>
      <c r="N554" s="444">
        <v>12</v>
      </c>
      <c r="O554" s="444">
        <v>0</v>
      </c>
      <c r="P554" s="444">
        <v>0</v>
      </c>
      <c r="Q554" s="444">
        <v>0</v>
      </c>
      <c r="R554" s="444">
        <v>63</v>
      </c>
      <c r="S554" s="444">
        <v>15</v>
      </c>
      <c r="T554" s="444">
        <v>23</v>
      </c>
      <c r="U554" s="444">
        <v>21</v>
      </c>
      <c r="V554" s="444">
        <v>13</v>
      </c>
      <c r="W554" s="444">
        <v>17</v>
      </c>
      <c r="X554" s="418"/>
      <c r="Y554" s="445"/>
      <c r="Z554" s="420"/>
      <c r="AA554" s="421">
        <v>162.363</v>
      </c>
      <c r="AB554" s="421">
        <v>139.23599999999999</v>
      </c>
      <c r="AC554" s="454">
        <v>95</v>
      </c>
      <c r="AE554" s="445" t="s">
        <v>2460</v>
      </c>
      <c r="AF554" s="454">
        <v>1</v>
      </c>
      <c r="AG554" s="441">
        <v>43101</v>
      </c>
      <c r="AJ554" s="442">
        <v>43346</v>
      </c>
      <c r="AL554" s="446" t="s">
        <v>931</v>
      </c>
      <c r="AO554" s="445"/>
      <c r="AP554" s="454">
        <v>556621</v>
      </c>
      <c r="AQ554" s="443">
        <v>43077</v>
      </c>
      <c r="AT554" s="447"/>
      <c r="AU554" s="447"/>
      <c r="AV554" s="447"/>
      <c r="AY554" s="427" t="s">
        <v>1717</v>
      </c>
      <c r="AZ554" s="373"/>
      <c r="BB554" s="374" t="s">
        <v>1727</v>
      </c>
      <c r="BC554" s="445"/>
      <c r="BE554" s="448">
        <v>5</v>
      </c>
      <c r="BF554" s="449">
        <v>40</v>
      </c>
      <c r="BG554" s="450" t="s">
        <v>1764</v>
      </c>
      <c r="BH554" s="445"/>
      <c r="BI554" s="491"/>
      <c r="BJ554" s="491">
        <v>1</v>
      </c>
      <c r="BK554" s="445" t="s">
        <v>3305</v>
      </c>
      <c r="BL554" s="445" t="s">
        <v>3306</v>
      </c>
      <c r="BM554" s="445"/>
      <c r="BN554" s="445" t="s">
        <v>1765</v>
      </c>
      <c r="BO554" s="445" t="s">
        <v>1765</v>
      </c>
      <c r="BP554" s="445" t="s">
        <v>1765</v>
      </c>
      <c r="BQ554" s="445" t="s">
        <v>31</v>
      </c>
      <c r="BR554" s="445"/>
      <c r="BS554" s="445">
        <v>5</v>
      </c>
      <c r="BT554" s="445">
        <v>20</v>
      </c>
      <c r="BU554" s="445">
        <v>70</v>
      </c>
      <c r="BV554" s="445" t="s">
        <v>2716</v>
      </c>
      <c r="BW554" s="445" t="s">
        <v>2556</v>
      </c>
      <c r="BX554" s="445" t="s">
        <v>3307</v>
      </c>
      <c r="BY554" s="445"/>
    </row>
    <row r="555" spans="1:77" ht="15">
      <c r="A555" s="370" t="s">
        <v>1783</v>
      </c>
      <c r="B555" s="415" t="s">
        <v>177</v>
      </c>
      <c r="C555" s="416" t="s">
        <v>2093</v>
      </c>
      <c r="D555" s="444">
        <v>0</v>
      </c>
      <c r="E555" s="415" t="s">
        <v>1749</v>
      </c>
      <c r="F555" s="444">
        <v>3</v>
      </c>
      <c r="G555" s="415" t="s">
        <v>1750</v>
      </c>
      <c r="H555" s="444">
        <v>60</v>
      </c>
      <c r="I555" s="417" t="s">
        <v>1660</v>
      </c>
      <c r="J555" s="444">
        <v>7.4</v>
      </c>
      <c r="K555" s="444">
        <v>0</v>
      </c>
      <c r="L555" s="444"/>
      <c r="M555" s="444">
        <v>0</v>
      </c>
      <c r="N555" s="444">
        <v>1600</v>
      </c>
      <c r="O555" s="444"/>
      <c r="P555" s="444"/>
      <c r="Q555" s="444">
        <v>450</v>
      </c>
      <c r="R555" s="444"/>
      <c r="S555" s="444">
        <v>0</v>
      </c>
      <c r="T555" s="444">
        <v>0</v>
      </c>
      <c r="U555" s="444"/>
      <c r="V555" s="444">
        <v>0</v>
      </c>
      <c r="W555" s="444">
        <v>0</v>
      </c>
      <c r="X555" s="418"/>
      <c r="Y555" s="445"/>
      <c r="Z555" s="420"/>
      <c r="AA555" s="421">
        <v>145.57</v>
      </c>
      <c r="AB555" s="421"/>
      <c r="AC555" s="454">
        <v>23</v>
      </c>
      <c r="AE555" s="445" t="s">
        <v>2462</v>
      </c>
      <c r="AF555" s="454">
        <v>1</v>
      </c>
      <c r="AG555" s="441">
        <v>43101</v>
      </c>
      <c r="AJ555" s="442">
        <v>43346</v>
      </c>
      <c r="AL555" s="446" t="s">
        <v>920</v>
      </c>
      <c r="AO555" s="445"/>
      <c r="AP555" s="454">
        <v>556636</v>
      </c>
      <c r="AQ555" s="443">
        <v>43102</v>
      </c>
      <c r="AR555" s="370">
        <v>0.2</v>
      </c>
      <c r="AT555" s="447"/>
      <c r="AU555" s="447"/>
      <c r="AV555" s="447"/>
      <c r="AY555" s="427" t="s">
        <v>1717</v>
      </c>
      <c r="AZ555" s="373"/>
      <c r="BB555" s="374" t="s">
        <v>1727</v>
      </c>
      <c r="BC555" s="445"/>
      <c r="BE555" s="448"/>
      <c r="BF555" s="449"/>
      <c r="BG555" s="450"/>
      <c r="BH555" s="445"/>
      <c r="BI555" s="491"/>
      <c r="BJ555" s="491">
        <v>7</v>
      </c>
      <c r="BK555" s="445" t="s">
        <v>3058</v>
      </c>
      <c r="BL555" s="445" t="s">
        <v>3308</v>
      </c>
      <c r="BM555" s="445"/>
      <c r="BN555" s="445"/>
      <c r="BO555" s="445"/>
      <c r="BP555" s="445"/>
      <c r="BQ555" s="445" t="s">
        <v>1783</v>
      </c>
      <c r="BR555" s="445">
        <v>2</v>
      </c>
      <c r="BS555" s="445"/>
      <c r="BT555" s="445"/>
      <c r="BU555" s="445"/>
      <c r="BV555" s="445"/>
      <c r="BW555" s="445" t="s">
        <v>2461</v>
      </c>
      <c r="BX555" s="445"/>
      <c r="BY555" s="445"/>
    </row>
    <row r="556" spans="1:77" ht="15">
      <c r="A556" s="370" t="s">
        <v>1783</v>
      </c>
      <c r="B556" s="415" t="s">
        <v>177</v>
      </c>
      <c r="C556" s="416" t="s">
        <v>2081</v>
      </c>
      <c r="D556" s="444">
        <v>0</v>
      </c>
      <c r="E556" s="415" t="s">
        <v>1749</v>
      </c>
      <c r="F556" s="444">
        <v>3</v>
      </c>
      <c r="G556" s="415" t="s">
        <v>1750</v>
      </c>
      <c r="H556" s="444">
        <v>41</v>
      </c>
      <c r="I556" s="417" t="s">
        <v>1687</v>
      </c>
      <c r="J556" s="444">
        <v>1.2</v>
      </c>
      <c r="K556" s="444">
        <v>0</v>
      </c>
      <c r="L556" s="444"/>
      <c r="M556" s="444">
        <v>0</v>
      </c>
      <c r="N556" s="444">
        <v>180</v>
      </c>
      <c r="O556" s="444"/>
      <c r="P556" s="444"/>
      <c r="Q556" s="444">
        <v>0</v>
      </c>
      <c r="R556" s="444"/>
      <c r="S556" s="444">
        <v>0</v>
      </c>
      <c r="T556" s="444">
        <v>0</v>
      </c>
      <c r="U556" s="444"/>
      <c r="V556" s="444">
        <v>0</v>
      </c>
      <c r="W556" s="444">
        <v>0</v>
      </c>
      <c r="X556" s="418"/>
      <c r="Y556" s="445"/>
      <c r="Z556" s="420"/>
      <c r="AA556" s="421">
        <v>185.61</v>
      </c>
      <c r="AB556" s="421"/>
      <c r="AC556" s="454">
        <v>23</v>
      </c>
      <c r="AE556" s="445" t="s">
        <v>2463</v>
      </c>
      <c r="AF556" s="454">
        <v>1</v>
      </c>
      <c r="AG556" s="441">
        <v>43101</v>
      </c>
      <c r="AJ556" s="442">
        <v>43368</v>
      </c>
      <c r="AL556" s="446" t="s">
        <v>1681</v>
      </c>
      <c r="AO556" s="445"/>
      <c r="AP556" s="454">
        <v>556686</v>
      </c>
      <c r="AQ556" s="443">
        <v>43368</v>
      </c>
      <c r="AR556" s="370">
        <v>0.3</v>
      </c>
      <c r="AT556" s="447"/>
      <c r="AU556" s="447"/>
      <c r="AV556" s="447"/>
      <c r="AY556" s="427" t="s">
        <v>1717</v>
      </c>
      <c r="AZ556" s="373"/>
      <c r="BB556" s="374" t="s">
        <v>1727</v>
      </c>
      <c r="BC556" s="445"/>
      <c r="BE556" s="448"/>
      <c r="BF556" s="449"/>
      <c r="BG556" s="450"/>
      <c r="BH556" s="445"/>
      <c r="BI556" s="491"/>
      <c r="BJ556" s="491">
        <v>8</v>
      </c>
      <c r="BK556" s="445" t="s">
        <v>3309</v>
      </c>
      <c r="BL556" s="445" t="s">
        <v>3310</v>
      </c>
      <c r="BM556" s="445"/>
      <c r="BN556" s="445"/>
      <c r="BO556" s="445"/>
      <c r="BP556" s="445"/>
      <c r="BQ556" s="445" t="s">
        <v>1783</v>
      </c>
      <c r="BR556" s="445">
        <v>2</v>
      </c>
      <c r="BS556" s="445"/>
      <c r="BT556" s="445"/>
      <c r="BU556" s="445"/>
      <c r="BV556" s="445"/>
      <c r="BW556" s="445" t="s">
        <v>2461</v>
      </c>
      <c r="BX556" s="445"/>
      <c r="BY556" s="445"/>
    </row>
    <row r="557" spans="1:77" ht="15">
      <c r="A557" s="370" t="s">
        <v>31</v>
      </c>
      <c r="B557" s="415" t="s">
        <v>296</v>
      </c>
      <c r="C557" s="416" t="s">
        <v>31</v>
      </c>
      <c r="D557" s="444">
        <v>0</v>
      </c>
      <c r="E557" s="415" t="s">
        <v>1716</v>
      </c>
      <c r="F557" s="444">
        <v>3</v>
      </c>
      <c r="G557" s="415" t="s">
        <v>1661</v>
      </c>
      <c r="H557" s="444">
        <v>7</v>
      </c>
      <c r="I557" s="417" t="s">
        <v>1769</v>
      </c>
      <c r="J557" s="444">
        <v>1.4</v>
      </c>
      <c r="K557" s="444">
        <v>768</v>
      </c>
      <c r="L557" s="444">
        <v>0</v>
      </c>
      <c r="M557" s="444">
        <v>0</v>
      </c>
      <c r="N557" s="444">
        <v>185</v>
      </c>
      <c r="O557" s="444">
        <v>0</v>
      </c>
      <c r="P557" s="444">
        <v>0</v>
      </c>
      <c r="Q557" s="444">
        <v>13</v>
      </c>
      <c r="R557" s="444">
        <v>50</v>
      </c>
      <c r="S557" s="444">
        <v>1</v>
      </c>
      <c r="T557" s="444">
        <v>94</v>
      </c>
      <c r="U557" s="444">
        <v>16</v>
      </c>
      <c r="V557" s="444">
        <v>1</v>
      </c>
      <c r="W557" s="444">
        <v>64</v>
      </c>
      <c r="X557" s="418"/>
      <c r="Y557" s="445"/>
      <c r="Z557" s="420"/>
      <c r="AA557" s="421">
        <v>85.475999999999999</v>
      </c>
      <c r="AB557" s="421">
        <v>42.247999999999998</v>
      </c>
      <c r="AC557" s="454">
        <v>0</v>
      </c>
      <c r="AE557" s="445" t="s">
        <v>2464</v>
      </c>
      <c r="AF557" s="454">
        <v>1</v>
      </c>
      <c r="AG557" s="441">
        <v>43101</v>
      </c>
      <c r="AJ557" s="442">
        <v>43346</v>
      </c>
      <c r="AL557" s="446" t="s">
        <v>1025</v>
      </c>
      <c r="AO557" s="445"/>
      <c r="AP557" s="454">
        <v>556622</v>
      </c>
      <c r="AQ557" s="443">
        <v>43077</v>
      </c>
      <c r="AT557" s="447"/>
      <c r="AU557" s="447"/>
      <c r="AV557" s="447"/>
      <c r="AY557" s="427" t="s">
        <v>1722</v>
      </c>
      <c r="AZ557" s="373"/>
      <c r="BB557" s="374" t="s">
        <v>1728</v>
      </c>
      <c r="BC557" s="445"/>
      <c r="BE557" s="448">
        <v>10</v>
      </c>
      <c r="BF557" s="449">
        <v>40</v>
      </c>
      <c r="BG557" s="450" t="s">
        <v>1764</v>
      </c>
      <c r="BH557" s="445"/>
      <c r="BI557" s="491"/>
      <c r="BJ557" s="491">
        <v>1</v>
      </c>
      <c r="BK557" s="445" t="s">
        <v>3311</v>
      </c>
      <c r="BL557" s="445" t="s">
        <v>3312</v>
      </c>
      <c r="BM557" s="445"/>
      <c r="BN557" s="445" t="s">
        <v>1765</v>
      </c>
      <c r="BO557" s="445" t="s">
        <v>1765</v>
      </c>
      <c r="BP557" s="445" t="s">
        <v>1765</v>
      </c>
      <c r="BQ557" s="445" t="s">
        <v>31</v>
      </c>
      <c r="BR557" s="445"/>
      <c r="BS557" s="445"/>
      <c r="BT557" s="445"/>
      <c r="BU557" s="445"/>
      <c r="BV557" s="445"/>
      <c r="BW557" s="445" t="s">
        <v>2465</v>
      </c>
      <c r="BX557" s="445"/>
      <c r="BY557" s="445"/>
    </row>
    <row r="558" spans="1:77" ht="15">
      <c r="A558" s="370" t="s">
        <v>31</v>
      </c>
      <c r="B558" s="415" t="s">
        <v>296</v>
      </c>
      <c r="C558" s="416" t="s">
        <v>31</v>
      </c>
      <c r="D558" s="444">
        <v>0</v>
      </c>
      <c r="E558" s="415" t="s">
        <v>1716</v>
      </c>
      <c r="F558" s="444">
        <v>3</v>
      </c>
      <c r="G558" s="415" t="s">
        <v>1661</v>
      </c>
      <c r="H558" s="444">
        <v>133</v>
      </c>
      <c r="I558" s="417" t="s">
        <v>1694</v>
      </c>
      <c r="J558" s="444">
        <v>0.6</v>
      </c>
      <c r="K558" s="444">
        <v>328</v>
      </c>
      <c r="L558" s="444">
        <v>0</v>
      </c>
      <c r="M558" s="444">
        <v>1</v>
      </c>
      <c r="N558" s="444">
        <v>45</v>
      </c>
      <c r="O558" s="444">
        <v>0</v>
      </c>
      <c r="P558" s="444">
        <v>0</v>
      </c>
      <c r="Q558" s="444">
        <v>0</v>
      </c>
      <c r="R558" s="444">
        <v>0</v>
      </c>
      <c r="S558" s="444">
        <v>11</v>
      </c>
      <c r="T558" s="444">
        <v>60</v>
      </c>
      <c r="U558" s="444">
        <v>0</v>
      </c>
      <c r="V558" s="444">
        <v>9</v>
      </c>
      <c r="W558" s="444">
        <v>39</v>
      </c>
      <c r="X558" s="418"/>
      <c r="Y558" s="445"/>
      <c r="Z558" s="420"/>
      <c r="AA558" s="421">
        <v>99.22</v>
      </c>
      <c r="AB558" s="421">
        <v>45.256999999999998</v>
      </c>
      <c r="AC558" s="454">
        <v>13</v>
      </c>
      <c r="AE558" s="445" t="s">
        <v>2466</v>
      </c>
      <c r="AF558" s="454">
        <v>1</v>
      </c>
      <c r="AG558" s="441">
        <v>43101</v>
      </c>
      <c r="AJ558" s="442">
        <v>43346</v>
      </c>
      <c r="AL558" s="446" t="s">
        <v>1025</v>
      </c>
      <c r="AO558" s="445"/>
      <c r="AP558" s="454">
        <v>556622</v>
      </c>
      <c r="AQ558" s="443">
        <v>43077</v>
      </c>
      <c r="AT558" s="447"/>
      <c r="AU558" s="447"/>
      <c r="AV558" s="447"/>
      <c r="AY558" s="427" t="s">
        <v>1722</v>
      </c>
      <c r="AZ558" s="373"/>
      <c r="BB558" s="374" t="s">
        <v>1728</v>
      </c>
      <c r="BC558" s="445"/>
      <c r="BE558" s="448">
        <v>10</v>
      </c>
      <c r="BF558" s="449">
        <v>40</v>
      </c>
      <c r="BG558" s="450" t="s">
        <v>1764</v>
      </c>
      <c r="BH558" s="445"/>
      <c r="BI558" s="491"/>
      <c r="BJ558" s="491">
        <v>2</v>
      </c>
      <c r="BK558" s="445" t="s">
        <v>3313</v>
      </c>
      <c r="BL558" s="445" t="s">
        <v>3314</v>
      </c>
      <c r="BM558" s="445"/>
      <c r="BN558" s="445" t="s">
        <v>1765</v>
      </c>
      <c r="BO558" s="445" t="s">
        <v>1765</v>
      </c>
      <c r="BP558" s="445" t="s">
        <v>1765</v>
      </c>
      <c r="BQ558" s="445" t="s">
        <v>31</v>
      </c>
      <c r="BR558" s="445"/>
      <c r="BS558" s="445"/>
      <c r="BT558" s="445"/>
      <c r="BU558" s="445"/>
      <c r="BV558" s="445"/>
      <c r="BW558" s="445" t="s">
        <v>2467</v>
      </c>
      <c r="BX558" s="445"/>
      <c r="BY558" s="445"/>
    </row>
    <row r="559" spans="1:77" ht="15">
      <c r="A559" s="370" t="s">
        <v>31</v>
      </c>
      <c r="B559" s="415" t="s">
        <v>85</v>
      </c>
      <c r="C559" s="416" t="s">
        <v>31</v>
      </c>
      <c r="D559" s="444">
        <v>0</v>
      </c>
      <c r="E559" s="415" t="s">
        <v>1716</v>
      </c>
      <c r="F559" s="444">
        <v>2</v>
      </c>
      <c r="G559" s="415" t="s">
        <v>1661</v>
      </c>
      <c r="H559" s="444">
        <v>41</v>
      </c>
      <c r="I559" s="417" t="s">
        <v>1684</v>
      </c>
      <c r="J559" s="444">
        <v>1.7</v>
      </c>
      <c r="K559" s="444">
        <v>869</v>
      </c>
      <c r="L559" s="444">
        <v>0</v>
      </c>
      <c r="M559" s="444">
        <v>242</v>
      </c>
      <c r="N559" s="444">
        <v>18</v>
      </c>
      <c r="O559" s="444">
        <v>0</v>
      </c>
      <c r="P559" s="444">
        <v>0</v>
      </c>
      <c r="Q559" s="444">
        <v>0</v>
      </c>
      <c r="R559" s="444">
        <v>0</v>
      </c>
      <c r="S559" s="444">
        <v>195</v>
      </c>
      <c r="T559" s="444">
        <v>61</v>
      </c>
      <c r="U559" s="444">
        <v>0</v>
      </c>
      <c r="V559" s="444">
        <v>130</v>
      </c>
      <c r="W559" s="444">
        <v>48</v>
      </c>
      <c r="X559" s="418"/>
      <c r="Y559" s="445"/>
      <c r="Z559" s="420"/>
      <c r="AA559" s="421">
        <v>64.242000000000004</v>
      </c>
      <c r="AB559" s="421">
        <v>26.927</v>
      </c>
      <c r="AC559" s="454">
        <v>66</v>
      </c>
      <c r="AE559" s="445" t="s">
        <v>2468</v>
      </c>
      <c r="AF559" s="454">
        <v>1</v>
      </c>
      <c r="AG559" s="441">
        <v>43101</v>
      </c>
      <c r="AJ559" s="442">
        <v>43346</v>
      </c>
      <c r="AL559" s="446" t="s">
        <v>931</v>
      </c>
      <c r="AO559" s="445"/>
      <c r="AP559" s="454">
        <v>556621</v>
      </c>
      <c r="AQ559" s="443">
        <v>43077</v>
      </c>
      <c r="AT559" s="447"/>
      <c r="AU559" s="447"/>
      <c r="AV559" s="447"/>
      <c r="AY559" s="427" t="s">
        <v>1717</v>
      </c>
      <c r="AZ559" s="373"/>
      <c r="BB559" s="374" t="s">
        <v>1727</v>
      </c>
      <c r="BC559" s="445"/>
      <c r="BE559" s="448">
        <v>10</v>
      </c>
      <c r="BF559" s="449">
        <v>40</v>
      </c>
      <c r="BG559" s="450" t="s">
        <v>1764</v>
      </c>
      <c r="BH559" s="445"/>
      <c r="BI559" s="491"/>
      <c r="BJ559" s="491">
        <v>2</v>
      </c>
      <c r="BK559" s="445" t="s">
        <v>3315</v>
      </c>
      <c r="BL559" s="445" t="s">
        <v>3316</v>
      </c>
      <c r="BM559" s="445"/>
      <c r="BN559" s="445" t="s">
        <v>1765</v>
      </c>
      <c r="BO559" s="445" t="s">
        <v>1765</v>
      </c>
      <c r="BP559" s="445" t="s">
        <v>1765</v>
      </c>
      <c r="BQ559" s="445" t="s">
        <v>31</v>
      </c>
      <c r="BR559" s="445"/>
      <c r="BS559" s="445"/>
      <c r="BT559" s="445"/>
      <c r="BU559" s="445"/>
      <c r="BV559" s="445"/>
      <c r="BW559" s="445" t="s">
        <v>2469</v>
      </c>
      <c r="BX559" s="445"/>
      <c r="BY559" s="445"/>
    </row>
    <row r="560" spans="1:77" ht="15">
      <c r="A560" s="370" t="s">
        <v>1269</v>
      </c>
      <c r="B560" s="415" t="s">
        <v>216</v>
      </c>
      <c r="C560" s="416" t="s">
        <v>1767</v>
      </c>
      <c r="D560" s="444">
        <v>0</v>
      </c>
      <c r="E560" s="415" t="s">
        <v>1716</v>
      </c>
      <c r="F560" s="444">
        <v>3</v>
      </c>
      <c r="G560" s="415" t="s">
        <v>1661</v>
      </c>
      <c r="H560" s="444">
        <v>54</v>
      </c>
      <c r="I560" s="417" t="s">
        <v>1685</v>
      </c>
      <c r="J560" s="444">
        <v>0.7</v>
      </c>
      <c r="K560" s="444">
        <v>174</v>
      </c>
      <c r="L560" s="444">
        <v>0</v>
      </c>
      <c r="M560" s="444">
        <v>8</v>
      </c>
      <c r="N560" s="444">
        <v>0</v>
      </c>
      <c r="O560" s="444">
        <v>0</v>
      </c>
      <c r="P560" s="444">
        <v>0</v>
      </c>
      <c r="Q560" s="444">
        <v>0</v>
      </c>
      <c r="R560" s="444">
        <v>0</v>
      </c>
      <c r="S560" s="444">
        <v>31</v>
      </c>
      <c r="T560" s="444">
        <v>2</v>
      </c>
      <c r="U560" s="444">
        <v>0</v>
      </c>
      <c r="V560" s="444">
        <v>0</v>
      </c>
      <c r="W560" s="444">
        <v>0</v>
      </c>
      <c r="X560" s="418"/>
      <c r="Y560" s="445"/>
      <c r="Z560" s="420"/>
      <c r="AA560" s="421">
        <v>81.129000000000005</v>
      </c>
      <c r="AB560" s="421">
        <v>29.978000000000002</v>
      </c>
      <c r="AC560" s="454">
        <v>6</v>
      </c>
      <c r="AE560" s="445" t="s">
        <v>2470</v>
      </c>
      <c r="AF560" s="454">
        <v>1</v>
      </c>
      <c r="AG560" s="441">
        <v>43101</v>
      </c>
      <c r="AJ560" s="442">
        <v>43346</v>
      </c>
      <c r="AL560" s="446" t="s">
        <v>914</v>
      </c>
      <c r="AO560" s="445"/>
      <c r="AP560" s="454">
        <v>556702</v>
      </c>
      <c r="AQ560" s="443">
        <v>43234</v>
      </c>
      <c r="AT560" s="447"/>
      <c r="AU560" s="447"/>
      <c r="AV560" s="447"/>
      <c r="AY560" s="427" t="s">
        <v>1559</v>
      </c>
      <c r="AZ560" s="373"/>
      <c r="BB560" s="374" t="s">
        <v>2214</v>
      </c>
      <c r="BC560" s="445"/>
      <c r="BE560" s="448">
        <v>0</v>
      </c>
      <c r="BF560" s="449">
        <v>0</v>
      </c>
      <c r="BG560" s="450" t="s">
        <v>1764</v>
      </c>
      <c r="BH560" s="445"/>
      <c r="BI560" s="491"/>
      <c r="BJ560" s="491">
        <v>15</v>
      </c>
      <c r="BK560" s="445" t="s">
        <v>3016</v>
      </c>
      <c r="BL560" s="445" t="s">
        <v>3017</v>
      </c>
      <c r="BM560" s="445"/>
      <c r="BN560" s="445" t="s">
        <v>1765</v>
      </c>
      <c r="BO560" s="445" t="s">
        <v>1765</v>
      </c>
      <c r="BP560" s="445" t="s">
        <v>1765</v>
      </c>
      <c r="BQ560" s="445" t="s">
        <v>1269</v>
      </c>
      <c r="BR560" s="445"/>
      <c r="BS560" s="445"/>
      <c r="BT560" s="445"/>
      <c r="BU560" s="445"/>
      <c r="BV560" s="445"/>
      <c r="BW560" s="445" t="s">
        <v>2469</v>
      </c>
      <c r="BX560" s="445"/>
      <c r="BY560" s="445"/>
    </row>
    <row r="561" spans="1:77" ht="15">
      <c r="A561" s="370" t="s">
        <v>1269</v>
      </c>
      <c r="B561" s="415" t="s">
        <v>216</v>
      </c>
      <c r="C561" s="416" t="s">
        <v>1767</v>
      </c>
      <c r="D561" s="444">
        <v>0</v>
      </c>
      <c r="E561" s="415" t="s">
        <v>1716</v>
      </c>
      <c r="F561" s="444">
        <v>3</v>
      </c>
      <c r="G561" s="415" t="s">
        <v>1661</v>
      </c>
      <c r="H561" s="444">
        <v>53</v>
      </c>
      <c r="I561" s="417" t="s">
        <v>1663</v>
      </c>
      <c r="J561" s="444">
        <v>2</v>
      </c>
      <c r="K561" s="444">
        <v>189</v>
      </c>
      <c r="L561" s="444">
        <v>0</v>
      </c>
      <c r="M561" s="444">
        <v>13</v>
      </c>
      <c r="N561" s="444">
        <v>0</v>
      </c>
      <c r="O561" s="444">
        <v>0</v>
      </c>
      <c r="P561" s="444">
        <v>0</v>
      </c>
      <c r="Q561" s="444">
        <v>0</v>
      </c>
      <c r="R561" s="444">
        <v>57</v>
      </c>
      <c r="S561" s="444">
        <v>1</v>
      </c>
      <c r="T561" s="444">
        <v>0</v>
      </c>
      <c r="U561" s="444">
        <v>0</v>
      </c>
      <c r="V561" s="444">
        <v>0</v>
      </c>
      <c r="W561" s="444">
        <v>0</v>
      </c>
      <c r="X561" s="418"/>
      <c r="Y561" s="445"/>
      <c r="Z561" s="420"/>
      <c r="AA561" s="421">
        <v>81.66</v>
      </c>
      <c r="AB561" s="421">
        <v>29.978000000000002</v>
      </c>
      <c r="AC561" s="454">
        <v>10</v>
      </c>
      <c r="AE561" s="445" t="s">
        <v>2471</v>
      </c>
      <c r="AF561" s="454">
        <v>1</v>
      </c>
      <c r="AG561" s="441">
        <v>43101</v>
      </c>
      <c r="AJ561" s="442">
        <v>43346</v>
      </c>
      <c r="AL561" s="446" t="s">
        <v>914</v>
      </c>
      <c r="AO561" s="445"/>
      <c r="AP561" s="454">
        <v>556702</v>
      </c>
      <c r="AQ561" s="443">
        <v>43234</v>
      </c>
      <c r="AT561" s="447"/>
      <c r="AU561" s="447"/>
      <c r="AV561" s="447"/>
      <c r="AY561" s="427" t="s">
        <v>1559</v>
      </c>
      <c r="AZ561" s="373"/>
      <c r="BB561" s="374" t="s">
        <v>2214</v>
      </c>
      <c r="BC561" s="445"/>
      <c r="BE561" s="448">
        <v>0</v>
      </c>
      <c r="BF561" s="449">
        <v>0</v>
      </c>
      <c r="BG561" s="450" t="s">
        <v>1764</v>
      </c>
      <c r="BH561" s="445"/>
      <c r="BI561" s="491"/>
      <c r="BJ561" s="491">
        <v>12</v>
      </c>
      <c r="BK561" s="445" t="s">
        <v>3010</v>
      </c>
      <c r="BL561" s="445" t="s">
        <v>3011</v>
      </c>
      <c r="BM561" s="445"/>
      <c r="BN561" s="445" t="s">
        <v>1765</v>
      </c>
      <c r="BO561" s="445" t="s">
        <v>1765</v>
      </c>
      <c r="BP561" s="445" t="s">
        <v>1765</v>
      </c>
      <c r="BQ561" s="445" t="s">
        <v>1269</v>
      </c>
      <c r="BR561" s="445"/>
      <c r="BS561" s="445"/>
      <c r="BT561" s="445"/>
      <c r="BU561" s="445"/>
      <c r="BV561" s="445"/>
      <c r="BW561" s="445" t="s">
        <v>2469</v>
      </c>
      <c r="BX561" s="445"/>
      <c r="BY561" s="445"/>
    </row>
    <row r="562" spans="1:77" ht="15">
      <c r="A562" s="370" t="s">
        <v>1269</v>
      </c>
      <c r="B562" s="415" t="s">
        <v>132</v>
      </c>
      <c r="C562" s="416" t="s">
        <v>1682</v>
      </c>
      <c r="D562" s="444">
        <v>0</v>
      </c>
      <c r="E562" s="415" t="s">
        <v>1716</v>
      </c>
      <c r="F562" s="444">
        <v>3</v>
      </c>
      <c r="G562" s="415" t="s">
        <v>1661</v>
      </c>
      <c r="H562" s="444">
        <v>3</v>
      </c>
      <c r="I562" s="417" t="s">
        <v>1664</v>
      </c>
      <c r="J562" s="444">
        <v>2.1</v>
      </c>
      <c r="K562" s="444">
        <v>83</v>
      </c>
      <c r="L562" s="444">
        <v>0</v>
      </c>
      <c r="M562" s="444">
        <v>0</v>
      </c>
      <c r="N562" s="444">
        <v>3</v>
      </c>
      <c r="O562" s="444">
        <v>0</v>
      </c>
      <c r="P562" s="444">
        <v>0</v>
      </c>
      <c r="Q562" s="444">
        <v>0</v>
      </c>
      <c r="R562" s="444">
        <v>0</v>
      </c>
      <c r="S562" s="444">
        <v>0</v>
      </c>
      <c r="T562" s="444">
        <v>58</v>
      </c>
      <c r="U562" s="444">
        <v>0</v>
      </c>
      <c r="V562" s="444">
        <v>0</v>
      </c>
      <c r="W562" s="444">
        <v>0</v>
      </c>
      <c r="X562" s="418"/>
      <c r="Y562" s="445"/>
      <c r="Z562" s="420"/>
      <c r="AA562" s="421">
        <v>72.097999999999999</v>
      </c>
      <c r="AB562" s="421">
        <v>29.978000000000002</v>
      </c>
      <c r="AC562" s="454">
        <v>3</v>
      </c>
      <c r="AE562" s="445" t="s">
        <v>2472</v>
      </c>
      <c r="AF562" s="454">
        <v>1</v>
      </c>
      <c r="AG562" s="441">
        <v>43101</v>
      </c>
      <c r="AJ562" s="442">
        <v>43346</v>
      </c>
      <c r="AL562" s="446" t="s">
        <v>926</v>
      </c>
      <c r="AO562" s="445"/>
      <c r="AP562" s="454">
        <v>556685</v>
      </c>
      <c r="AQ562" s="443">
        <v>43367</v>
      </c>
      <c r="AT562" s="447"/>
      <c r="AU562" s="447"/>
      <c r="AV562" s="447"/>
      <c r="AY562" s="427" t="s">
        <v>1559</v>
      </c>
      <c r="AZ562" s="373"/>
      <c r="BB562" s="374" t="s">
        <v>2214</v>
      </c>
      <c r="BC562" s="445"/>
      <c r="BE562" s="448">
        <v>0</v>
      </c>
      <c r="BF562" s="449">
        <v>0</v>
      </c>
      <c r="BG562" s="450" t="s">
        <v>1764</v>
      </c>
      <c r="BH562" s="445"/>
      <c r="BI562" s="491"/>
      <c r="BJ562" s="491">
        <v>3</v>
      </c>
      <c r="BK562" s="445" t="s">
        <v>169</v>
      </c>
      <c r="BL562" s="445" t="s">
        <v>3317</v>
      </c>
      <c r="BM562" s="445"/>
      <c r="BN562" s="445" t="s">
        <v>1765</v>
      </c>
      <c r="BO562" s="445" t="s">
        <v>1765</v>
      </c>
      <c r="BP562" s="445" t="s">
        <v>1765</v>
      </c>
      <c r="BQ562" s="445" t="s">
        <v>1269</v>
      </c>
      <c r="BR562" s="445"/>
      <c r="BS562" s="445"/>
      <c r="BT562" s="445"/>
      <c r="BU562" s="445"/>
      <c r="BV562" s="445"/>
      <c r="BW562" s="445" t="s">
        <v>2469</v>
      </c>
      <c r="BX562" s="445"/>
      <c r="BY562" s="445"/>
    </row>
    <row r="563" spans="1:77" ht="15">
      <c r="A563" s="370" t="s">
        <v>1269</v>
      </c>
      <c r="B563" s="415" t="s">
        <v>132</v>
      </c>
      <c r="C563" s="416" t="s">
        <v>1682</v>
      </c>
      <c r="D563" s="444">
        <v>0</v>
      </c>
      <c r="E563" s="415" t="s">
        <v>1716</v>
      </c>
      <c r="F563" s="444">
        <v>3</v>
      </c>
      <c r="G563" s="415" t="s">
        <v>1661</v>
      </c>
      <c r="H563" s="444">
        <v>3</v>
      </c>
      <c r="I563" s="417" t="s">
        <v>1685</v>
      </c>
      <c r="J563" s="444">
        <v>1.8</v>
      </c>
      <c r="K563" s="444">
        <v>142</v>
      </c>
      <c r="L563" s="444">
        <v>0</v>
      </c>
      <c r="M563" s="444">
        <v>0</v>
      </c>
      <c r="N563" s="444">
        <v>1</v>
      </c>
      <c r="O563" s="444">
        <v>0</v>
      </c>
      <c r="P563" s="444">
        <v>0</v>
      </c>
      <c r="Q563" s="444">
        <v>0</v>
      </c>
      <c r="R563" s="444">
        <v>0</v>
      </c>
      <c r="S563" s="444">
        <v>0</v>
      </c>
      <c r="T563" s="444">
        <v>47</v>
      </c>
      <c r="U563" s="444">
        <v>0</v>
      </c>
      <c r="V563" s="444">
        <v>0</v>
      </c>
      <c r="W563" s="444">
        <v>0</v>
      </c>
      <c r="X563" s="418"/>
      <c r="Y563" s="445"/>
      <c r="Z563" s="420"/>
      <c r="AA563" s="421">
        <v>88.22</v>
      </c>
      <c r="AB563" s="421">
        <v>29.978000000000002</v>
      </c>
      <c r="AC563" s="454">
        <v>3</v>
      </c>
      <c r="AE563" s="445" t="s">
        <v>2473</v>
      </c>
      <c r="AF563" s="454">
        <v>1</v>
      </c>
      <c r="AG563" s="441">
        <v>43101</v>
      </c>
      <c r="AJ563" s="442">
        <v>43346</v>
      </c>
      <c r="AL563" s="446" t="s">
        <v>926</v>
      </c>
      <c r="AO563" s="445"/>
      <c r="AP563" s="454">
        <v>556685</v>
      </c>
      <c r="AQ563" s="443">
        <v>43367</v>
      </c>
      <c r="AT563" s="447"/>
      <c r="AU563" s="447"/>
      <c r="AV563" s="447"/>
      <c r="AY563" s="427" t="s">
        <v>1559</v>
      </c>
      <c r="AZ563" s="373"/>
      <c r="BB563" s="374" t="s">
        <v>2214</v>
      </c>
      <c r="BC563" s="445"/>
      <c r="BE563" s="448">
        <v>0</v>
      </c>
      <c r="BF563" s="449">
        <v>0</v>
      </c>
      <c r="BG563" s="450" t="s">
        <v>1764</v>
      </c>
      <c r="BH563" s="445"/>
      <c r="BI563" s="491"/>
      <c r="BJ563" s="491">
        <v>4</v>
      </c>
      <c r="BK563" s="445" t="s">
        <v>3318</v>
      </c>
      <c r="BL563" s="445" t="s">
        <v>3319</v>
      </c>
      <c r="BM563" s="445"/>
      <c r="BN563" s="445" t="s">
        <v>1765</v>
      </c>
      <c r="BO563" s="445" t="s">
        <v>1765</v>
      </c>
      <c r="BP563" s="445" t="s">
        <v>1765</v>
      </c>
      <c r="BQ563" s="445" t="s">
        <v>1269</v>
      </c>
      <c r="BR563" s="445"/>
      <c r="BS563" s="445"/>
      <c r="BT563" s="445"/>
      <c r="BU563" s="445"/>
      <c r="BV563" s="445"/>
      <c r="BW563" s="445" t="s">
        <v>2469</v>
      </c>
      <c r="BX563" s="445"/>
      <c r="BY563" s="445"/>
    </row>
    <row r="564" spans="1:77" ht="15">
      <c r="A564" s="370" t="s">
        <v>1269</v>
      </c>
      <c r="B564" s="415" t="s">
        <v>132</v>
      </c>
      <c r="C564" s="416" t="s">
        <v>1682</v>
      </c>
      <c r="D564" s="444">
        <v>0</v>
      </c>
      <c r="E564" s="415" t="s">
        <v>1716</v>
      </c>
      <c r="F564" s="444">
        <v>3</v>
      </c>
      <c r="G564" s="415" t="s">
        <v>1661</v>
      </c>
      <c r="H564" s="444">
        <v>17</v>
      </c>
      <c r="I564" s="417" t="s">
        <v>1632</v>
      </c>
      <c r="J564" s="444">
        <v>10</v>
      </c>
      <c r="K564" s="444">
        <v>304</v>
      </c>
      <c r="L564" s="444">
        <v>0</v>
      </c>
      <c r="M564" s="444">
        <v>0</v>
      </c>
      <c r="N564" s="444">
        <v>11</v>
      </c>
      <c r="O564" s="444">
        <v>0</v>
      </c>
      <c r="P564" s="444">
        <v>0</v>
      </c>
      <c r="Q564" s="444">
        <v>0</v>
      </c>
      <c r="R564" s="444">
        <v>0</v>
      </c>
      <c r="S564" s="444">
        <v>0</v>
      </c>
      <c r="T564" s="444">
        <v>85</v>
      </c>
      <c r="U564" s="444">
        <v>0</v>
      </c>
      <c r="V564" s="444">
        <v>0</v>
      </c>
      <c r="W564" s="444">
        <v>0</v>
      </c>
      <c r="X564" s="418"/>
      <c r="Y564" s="445"/>
      <c r="Z564" s="420"/>
      <c r="AA564" s="421">
        <v>96.372</v>
      </c>
      <c r="AB564" s="421">
        <v>29.978000000000002</v>
      </c>
      <c r="AC564" s="454">
        <v>9</v>
      </c>
      <c r="AE564" s="445" t="s">
        <v>2474</v>
      </c>
      <c r="AF564" s="454">
        <v>1</v>
      </c>
      <c r="AG564" s="441">
        <v>43101</v>
      </c>
      <c r="AJ564" s="442">
        <v>43346</v>
      </c>
      <c r="AL564" s="446" t="s">
        <v>911</v>
      </c>
      <c r="AO564" s="445"/>
      <c r="AP564" s="454">
        <v>556685</v>
      </c>
      <c r="AQ564" s="443">
        <v>43367</v>
      </c>
      <c r="AT564" s="447"/>
      <c r="AU564" s="447"/>
      <c r="AV564" s="447"/>
      <c r="AY564" s="427" t="s">
        <v>1559</v>
      </c>
      <c r="AZ564" s="373"/>
      <c r="BB564" s="374" t="s">
        <v>2214</v>
      </c>
      <c r="BC564" s="445"/>
      <c r="BE564" s="448">
        <v>0</v>
      </c>
      <c r="BF564" s="449">
        <v>0</v>
      </c>
      <c r="BG564" s="450" t="s">
        <v>1764</v>
      </c>
      <c r="BH564" s="445"/>
      <c r="BI564" s="491"/>
      <c r="BJ564" s="491">
        <v>5</v>
      </c>
      <c r="BK564" s="445" t="s">
        <v>2810</v>
      </c>
      <c r="BL564" s="445" t="s">
        <v>3320</v>
      </c>
      <c r="BM564" s="445"/>
      <c r="BN564" s="445" t="s">
        <v>1765</v>
      </c>
      <c r="BO564" s="445" t="s">
        <v>1765</v>
      </c>
      <c r="BP564" s="445" t="s">
        <v>1765</v>
      </c>
      <c r="BQ564" s="445" t="s">
        <v>1269</v>
      </c>
      <c r="BR564" s="445"/>
      <c r="BS564" s="445"/>
      <c r="BT564" s="445"/>
      <c r="BU564" s="445"/>
      <c r="BV564" s="445"/>
      <c r="BW564" s="445" t="s">
        <v>2469</v>
      </c>
      <c r="BX564" s="445"/>
      <c r="BY564" s="445"/>
    </row>
    <row r="565" spans="1:77" ht="15">
      <c r="A565" s="370" t="s">
        <v>1269</v>
      </c>
      <c r="B565" s="415" t="s">
        <v>132</v>
      </c>
      <c r="C565" s="416" t="s">
        <v>1682</v>
      </c>
      <c r="D565" s="444">
        <v>0</v>
      </c>
      <c r="E565" s="415" t="s">
        <v>1716</v>
      </c>
      <c r="F565" s="444">
        <v>3</v>
      </c>
      <c r="G565" s="415" t="s">
        <v>1661</v>
      </c>
      <c r="H565" s="444">
        <v>37</v>
      </c>
      <c r="I565" s="417" t="s">
        <v>1664</v>
      </c>
      <c r="J565" s="444">
        <v>10.3</v>
      </c>
      <c r="K565" s="444">
        <v>300</v>
      </c>
      <c r="L565" s="444">
        <v>0</v>
      </c>
      <c r="M565" s="444">
        <v>0</v>
      </c>
      <c r="N565" s="444">
        <v>8</v>
      </c>
      <c r="O565" s="444">
        <v>0</v>
      </c>
      <c r="P565" s="444">
        <v>0</v>
      </c>
      <c r="Q565" s="444">
        <v>0</v>
      </c>
      <c r="R565" s="444">
        <v>0</v>
      </c>
      <c r="S565" s="444">
        <v>0</v>
      </c>
      <c r="T565" s="444">
        <v>143</v>
      </c>
      <c r="U565" s="444">
        <v>0</v>
      </c>
      <c r="V565" s="444">
        <v>0</v>
      </c>
      <c r="W565" s="444">
        <v>0</v>
      </c>
      <c r="X565" s="418"/>
      <c r="Y565" s="445"/>
      <c r="Z565" s="420"/>
      <c r="AA565" s="421">
        <v>83.488</v>
      </c>
      <c r="AB565" s="421">
        <v>29.978000000000002</v>
      </c>
      <c r="AC565" s="454">
        <v>10</v>
      </c>
      <c r="AE565" s="445" t="s">
        <v>2475</v>
      </c>
      <c r="AF565" s="454">
        <v>1</v>
      </c>
      <c r="AG565" s="441">
        <v>43101</v>
      </c>
      <c r="AJ565" s="442">
        <v>43346</v>
      </c>
      <c r="AL565" s="446" t="s">
        <v>924</v>
      </c>
      <c r="AO565" s="445"/>
      <c r="AP565" s="454">
        <v>556685</v>
      </c>
      <c r="AQ565" s="443">
        <v>43367</v>
      </c>
      <c r="AT565" s="447"/>
      <c r="AU565" s="447"/>
      <c r="AV565" s="447"/>
      <c r="AY565" s="427" t="s">
        <v>1559</v>
      </c>
      <c r="AZ565" s="373"/>
      <c r="BB565" s="374" t="s">
        <v>2214</v>
      </c>
      <c r="BC565" s="445"/>
      <c r="BE565" s="448">
        <v>0</v>
      </c>
      <c r="BF565" s="449">
        <v>0</v>
      </c>
      <c r="BG565" s="450" t="s">
        <v>1764</v>
      </c>
      <c r="BH565" s="445"/>
      <c r="BI565" s="491"/>
      <c r="BJ565" s="491">
        <v>6</v>
      </c>
      <c r="BK565" s="445" t="s">
        <v>3321</v>
      </c>
      <c r="BL565" s="445" t="s">
        <v>3322</v>
      </c>
      <c r="BM565" s="445"/>
      <c r="BN565" s="445" t="s">
        <v>1765</v>
      </c>
      <c r="BO565" s="445" t="s">
        <v>1765</v>
      </c>
      <c r="BP565" s="445" t="s">
        <v>1765</v>
      </c>
      <c r="BQ565" s="445" t="s">
        <v>1269</v>
      </c>
      <c r="BR565" s="445"/>
      <c r="BS565" s="445"/>
      <c r="BT565" s="445"/>
      <c r="BU565" s="445"/>
      <c r="BV565" s="445"/>
      <c r="BW565" s="445" t="s">
        <v>2469</v>
      </c>
      <c r="BX565" s="445"/>
      <c r="BY565" s="445"/>
    </row>
    <row r="566" spans="1:77" ht="15">
      <c r="A566" s="370" t="s">
        <v>1269</v>
      </c>
      <c r="B566" s="415" t="s">
        <v>132</v>
      </c>
      <c r="C566" s="416" t="s">
        <v>1682</v>
      </c>
      <c r="D566" s="444">
        <v>0</v>
      </c>
      <c r="E566" s="415" t="s">
        <v>1716</v>
      </c>
      <c r="F566" s="444">
        <v>3</v>
      </c>
      <c r="G566" s="415" t="s">
        <v>1661</v>
      </c>
      <c r="H566" s="444">
        <v>81</v>
      </c>
      <c r="I566" s="417" t="s">
        <v>1664</v>
      </c>
      <c r="J566" s="444">
        <v>9.4</v>
      </c>
      <c r="K566" s="444">
        <v>432</v>
      </c>
      <c r="L566" s="444">
        <v>0</v>
      </c>
      <c r="M566" s="444">
        <v>0</v>
      </c>
      <c r="N566" s="444">
        <v>22</v>
      </c>
      <c r="O566" s="444">
        <v>0</v>
      </c>
      <c r="P566" s="444">
        <v>0</v>
      </c>
      <c r="Q566" s="444">
        <v>0</v>
      </c>
      <c r="R566" s="444">
        <v>0</v>
      </c>
      <c r="S566" s="444">
        <v>0</v>
      </c>
      <c r="T566" s="444">
        <v>195</v>
      </c>
      <c r="U566" s="444">
        <v>0</v>
      </c>
      <c r="V566" s="444">
        <v>0</v>
      </c>
      <c r="W566" s="444">
        <v>0</v>
      </c>
      <c r="X566" s="418"/>
      <c r="Y566" s="445"/>
      <c r="Z566" s="420"/>
      <c r="AA566" s="421">
        <v>77.221000000000004</v>
      </c>
      <c r="AB566" s="421">
        <v>29.978000000000002</v>
      </c>
      <c r="AC566" s="454">
        <v>16</v>
      </c>
      <c r="AE566" s="445" t="s">
        <v>2476</v>
      </c>
      <c r="AF566" s="454">
        <v>1</v>
      </c>
      <c r="AG566" s="441">
        <v>43101</v>
      </c>
      <c r="AJ566" s="442">
        <v>43346</v>
      </c>
      <c r="AL566" s="446" t="s">
        <v>916</v>
      </c>
      <c r="AO566" s="445"/>
      <c r="AP566" s="454">
        <v>556685</v>
      </c>
      <c r="AQ566" s="443">
        <v>43367</v>
      </c>
      <c r="AT566" s="447"/>
      <c r="AU566" s="447"/>
      <c r="AV566" s="447"/>
      <c r="AY566" s="427" t="s">
        <v>1559</v>
      </c>
      <c r="AZ566" s="373"/>
      <c r="BB566" s="374" t="s">
        <v>2214</v>
      </c>
      <c r="BC566" s="445"/>
      <c r="BE566" s="448">
        <v>0</v>
      </c>
      <c r="BF566" s="449">
        <v>0</v>
      </c>
      <c r="BG566" s="450" t="s">
        <v>1764</v>
      </c>
      <c r="BH566" s="445"/>
      <c r="BI566" s="491"/>
      <c r="BJ566" s="491">
        <v>7</v>
      </c>
      <c r="BK566" s="445" t="s">
        <v>37</v>
      </c>
      <c r="BL566" s="445" t="s">
        <v>3323</v>
      </c>
      <c r="BM566" s="445"/>
      <c r="BN566" s="445" t="s">
        <v>1765</v>
      </c>
      <c r="BO566" s="445" t="s">
        <v>1765</v>
      </c>
      <c r="BP566" s="445" t="s">
        <v>1765</v>
      </c>
      <c r="BQ566" s="445" t="s">
        <v>1269</v>
      </c>
      <c r="BR566" s="445"/>
      <c r="BS566" s="445"/>
      <c r="BT566" s="445"/>
      <c r="BU566" s="445"/>
      <c r="BV566" s="445"/>
      <c r="BW566" s="445" t="s">
        <v>2469</v>
      </c>
      <c r="BX566" s="445"/>
      <c r="BY566" s="445"/>
    </row>
    <row r="567" spans="1:77" ht="15">
      <c r="A567" s="370" t="s">
        <v>1783</v>
      </c>
      <c r="B567" s="415" t="s">
        <v>19</v>
      </c>
      <c r="C567" s="416" t="s">
        <v>2093</v>
      </c>
      <c r="D567" s="444">
        <v>0</v>
      </c>
      <c r="E567" s="415" t="s">
        <v>1749</v>
      </c>
      <c r="F567" s="444">
        <v>3</v>
      </c>
      <c r="G567" s="415" t="s">
        <v>1750</v>
      </c>
      <c r="H567" s="444">
        <v>66</v>
      </c>
      <c r="I567" s="417" t="s">
        <v>1660</v>
      </c>
      <c r="J567" s="444">
        <v>0.5</v>
      </c>
      <c r="K567" s="444">
        <v>0</v>
      </c>
      <c r="L567" s="444"/>
      <c r="M567" s="444">
        <v>0</v>
      </c>
      <c r="N567" s="444">
        <v>100</v>
      </c>
      <c r="O567" s="444"/>
      <c r="P567" s="444"/>
      <c r="Q567" s="444">
        <v>0</v>
      </c>
      <c r="R567" s="444"/>
      <c r="S567" s="444">
        <v>0</v>
      </c>
      <c r="T567" s="444">
        <v>0</v>
      </c>
      <c r="U567" s="444"/>
      <c r="V567" s="444">
        <v>0</v>
      </c>
      <c r="W567" s="444">
        <v>0</v>
      </c>
      <c r="X567" s="418"/>
      <c r="Y567" s="445"/>
      <c r="Z567" s="420"/>
      <c r="AA567" s="421">
        <v>185.62</v>
      </c>
      <c r="AB567" s="421"/>
      <c r="AC567" s="454">
        <v>23</v>
      </c>
      <c r="AE567" s="445" t="s">
        <v>2477</v>
      </c>
      <c r="AF567" s="454">
        <v>1</v>
      </c>
      <c r="AG567" s="441">
        <v>43101</v>
      </c>
      <c r="AJ567" s="442">
        <v>43346</v>
      </c>
      <c r="AL567" s="446" t="s">
        <v>1037</v>
      </c>
      <c r="AO567" s="445"/>
      <c r="AP567" s="454">
        <v>556670</v>
      </c>
      <c r="AQ567" s="443">
        <v>43201</v>
      </c>
      <c r="AR567" s="370">
        <v>0.3</v>
      </c>
      <c r="AT567" s="447"/>
      <c r="AU567" s="447"/>
      <c r="AV567" s="447"/>
      <c r="AY567" s="427" t="s">
        <v>1559</v>
      </c>
      <c r="AZ567" s="373"/>
      <c r="BB567" s="374" t="s">
        <v>2214</v>
      </c>
      <c r="BC567" s="445"/>
      <c r="BE567" s="448"/>
      <c r="BF567" s="449"/>
      <c r="BG567" s="450"/>
      <c r="BH567" s="445"/>
      <c r="BI567" s="491"/>
      <c r="BJ567" s="491">
        <v>5</v>
      </c>
      <c r="BK567" s="445" t="s">
        <v>3282</v>
      </c>
      <c r="BL567" s="445" t="s">
        <v>3324</v>
      </c>
      <c r="BM567" s="445"/>
      <c r="BN567" s="445"/>
      <c r="BO567" s="445"/>
      <c r="BP567" s="445"/>
      <c r="BQ567" s="445" t="s">
        <v>1783</v>
      </c>
      <c r="BR567" s="445">
        <v>2</v>
      </c>
      <c r="BS567" s="445"/>
      <c r="BT567" s="445"/>
      <c r="BU567" s="445"/>
      <c r="BV567" s="445"/>
      <c r="BW567" s="445" t="s">
        <v>2469</v>
      </c>
      <c r="BX567" s="445"/>
      <c r="BY567" s="445"/>
    </row>
    <row r="568" spans="1:77" ht="15">
      <c r="A568" s="370" t="s">
        <v>31</v>
      </c>
      <c r="B568" s="415" t="s">
        <v>19</v>
      </c>
      <c r="C568" s="416" t="s">
        <v>31</v>
      </c>
      <c r="D568" s="444">
        <v>0</v>
      </c>
      <c r="E568" s="415" t="s">
        <v>1716</v>
      </c>
      <c r="F568" s="444">
        <v>2</v>
      </c>
      <c r="G568" s="415" t="s">
        <v>1661</v>
      </c>
      <c r="H568" s="444">
        <v>69</v>
      </c>
      <c r="I568" s="417" t="s">
        <v>1434</v>
      </c>
      <c r="J568" s="444">
        <v>2.2999999999999998</v>
      </c>
      <c r="K568" s="444">
        <v>957</v>
      </c>
      <c r="L568" s="444">
        <v>0</v>
      </c>
      <c r="M568" s="444">
        <v>1</v>
      </c>
      <c r="N568" s="444">
        <v>403</v>
      </c>
      <c r="O568" s="444">
        <v>0</v>
      </c>
      <c r="P568" s="444">
        <v>0</v>
      </c>
      <c r="Q568" s="444">
        <v>40</v>
      </c>
      <c r="R568" s="444">
        <v>46</v>
      </c>
      <c r="S568" s="444">
        <v>11</v>
      </c>
      <c r="T568" s="444">
        <v>166</v>
      </c>
      <c r="U568" s="444">
        <v>16</v>
      </c>
      <c r="V568" s="444">
        <v>9</v>
      </c>
      <c r="W568" s="444">
        <v>112</v>
      </c>
      <c r="X568" s="418"/>
      <c r="Y568" s="445"/>
      <c r="Z568" s="420"/>
      <c r="AA568" s="421">
        <v>64.793999999999997</v>
      </c>
      <c r="AB568" s="421">
        <v>30.08</v>
      </c>
      <c r="AC568" s="454">
        <v>54</v>
      </c>
      <c r="AE568" s="445" t="s">
        <v>2402</v>
      </c>
      <c r="AF568" s="454">
        <v>1</v>
      </c>
      <c r="AG568" s="441">
        <v>43101</v>
      </c>
      <c r="AJ568" s="442">
        <v>43327</v>
      </c>
      <c r="AL568" s="446" t="s">
        <v>927</v>
      </c>
      <c r="AO568" s="445"/>
      <c r="AP568" s="454">
        <v>556620</v>
      </c>
      <c r="AQ568" s="443">
        <v>43077</v>
      </c>
      <c r="AT568" s="447"/>
      <c r="AU568" s="447"/>
      <c r="AV568" s="447"/>
      <c r="AY568" s="427" t="s">
        <v>1559</v>
      </c>
      <c r="AZ568" s="373"/>
      <c r="BB568" s="374" t="s">
        <v>2214</v>
      </c>
      <c r="BC568" s="445"/>
      <c r="BE568" s="448">
        <v>5</v>
      </c>
      <c r="BF568" s="449">
        <v>40</v>
      </c>
      <c r="BG568" s="450" t="s">
        <v>1764</v>
      </c>
      <c r="BH568" s="445"/>
      <c r="BI568" s="491"/>
      <c r="BJ568" s="491">
        <v>1</v>
      </c>
      <c r="BK568" s="445" t="s">
        <v>3220</v>
      </c>
      <c r="BL568" s="445" t="s">
        <v>3221</v>
      </c>
      <c r="BM568" s="445"/>
      <c r="BN568" s="445" t="s">
        <v>1765</v>
      </c>
      <c r="BO568" s="445" t="s">
        <v>1765</v>
      </c>
      <c r="BP568" s="445" t="s">
        <v>1765</v>
      </c>
      <c r="BQ568" s="445" t="s">
        <v>31</v>
      </c>
      <c r="BR568" s="445"/>
      <c r="BS568" s="445"/>
      <c r="BT568" s="445"/>
      <c r="BU568" s="445"/>
      <c r="BV568" s="445"/>
      <c r="BW568" s="445" t="s">
        <v>2401</v>
      </c>
      <c r="BX568" s="445"/>
      <c r="BY568" s="445"/>
    </row>
    <row r="569" spans="1:77" ht="15">
      <c r="A569" s="370" t="s">
        <v>1269</v>
      </c>
      <c r="B569" s="415" t="s">
        <v>216</v>
      </c>
      <c r="C569" s="416" t="s">
        <v>1767</v>
      </c>
      <c r="D569" s="444">
        <v>0</v>
      </c>
      <c r="E569" s="415" t="s">
        <v>1749</v>
      </c>
      <c r="F569" s="444">
        <v>3</v>
      </c>
      <c r="G569" s="415" t="s">
        <v>1750</v>
      </c>
      <c r="H569" s="444">
        <v>58</v>
      </c>
      <c r="I569" s="417" t="s">
        <v>1770</v>
      </c>
      <c r="J569" s="444">
        <v>0.1</v>
      </c>
      <c r="K569" s="444">
        <v>33</v>
      </c>
      <c r="L569" s="444"/>
      <c r="M569" s="444">
        <v>2</v>
      </c>
      <c r="N569" s="444">
        <v>0</v>
      </c>
      <c r="O569" s="444"/>
      <c r="P569" s="444"/>
      <c r="Q569" s="444"/>
      <c r="R569" s="444"/>
      <c r="S569" s="444">
        <v>0</v>
      </c>
      <c r="T569" s="444">
        <v>0</v>
      </c>
      <c r="U569" s="444"/>
      <c r="V569" s="444">
        <v>28</v>
      </c>
      <c r="W569" s="444">
        <v>0</v>
      </c>
      <c r="X569" s="418"/>
      <c r="Y569" s="445"/>
      <c r="Z569" s="420"/>
      <c r="AA569" s="421">
        <v>64.363</v>
      </c>
      <c r="AB569" s="421"/>
      <c r="AC569" s="454">
        <v>1</v>
      </c>
      <c r="AE569" s="445" t="s">
        <v>2478</v>
      </c>
      <c r="AF569" s="454">
        <v>1</v>
      </c>
      <c r="AG569" s="441">
        <v>43101</v>
      </c>
      <c r="AJ569" s="442">
        <v>43346</v>
      </c>
      <c r="AL569" s="446" t="s">
        <v>1019</v>
      </c>
      <c r="AO569" s="445"/>
      <c r="AP569" s="454">
        <v>556648</v>
      </c>
      <c r="AQ569" s="443">
        <v>43124</v>
      </c>
      <c r="AT569" s="447"/>
      <c r="AU569" s="447"/>
      <c r="AV569" s="447"/>
      <c r="AY569" s="427" t="s">
        <v>1559</v>
      </c>
      <c r="AZ569" s="373"/>
      <c r="BB569" s="374" t="s">
        <v>2214</v>
      </c>
      <c r="BC569" s="445"/>
      <c r="BE569" s="448"/>
      <c r="BF569" s="449"/>
      <c r="BG569" s="450"/>
      <c r="BH569" s="445"/>
      <c r="BI569" s="491"/>
      <c r="BJ569" s="491">
        <v>35</v>
      </c>
      <c r="BK569" s="445" t="s">
        <v>1914</v>
      </c>
      <c r="BL569" s="445" t="s">
        <v>2689</v>
      </c>
      <c r="BM569" s="445"/>
      <c r="BN569" s="445"/>
      <c r="BO569" s="445"/>
      <c r="BP569" s="445"/>
      <c r="BQ569" s="445" t="s">
        <v>1269</v>
      </c>
      <c r="BR569" s="445"/>
      <c r="BS569" s="445"/>
      <c r="BT569" s="445"/>
      <c r="BU569" s="445"/>
      <c r="BV569" s="445"/>
      <c r="BW569" s="445" t="s">
        <v>2401</v>
      </c>
      <c r="BX569" s="445"/>
      <c r="BY569" s="445"/>
    </row>
    <row r="570" spans="1:77" ht="15">
      <c r="A570" s="370" t="s">
        <v>1269</v>
      </c>
      <c r="B570" s="415" t="s">
        <v>85</v>
      </c>
      <c r="C570" s="416" t="s">
        <v>1682</v>
      </c>
      <c r="D570" s="444">
        <v>0</v>
      </c>
      <c r="E570" s="415" t="s">
        <v>1749</v>
      </c>
      <c r="F570" s="444">
        <v>3</v>
      </c>
      <c r="G570" s="415" t="s">
        <v>1750</v>
      </c>
      <c r="H570" s="444">
        <v>18</v>
      </c>
      <c r="I570" s="417" t="s">
        <v>1632</v>
      </c>
      <c r="J570" s="444">
        <v>23.3</v>
      </c>
      <c r="K570" s="444">
        <v>1004</v>
      </c>
      <c r="L570" s="444"/>
      <c r="M570" s="444">
        <v>0</v>
      </c>
      <c r="N570" s="444">
        <v>0</v>
      </c>
      <c r="O570" s="444"/>
      <c r="P570" s="444"/>
      <c r="Q570" s="444"/>
      <c r="R570" s="444"/>
      <c r="S570" s="444">
        <v>0</v>
      </c>
      <c r="T570" s="444">
        <v>0</v>
      </c>
      <c r="U570" s="444"/>
      <c r="V570" s="444">
        <v>50</v>
      </c>
      <c r="W570" s="444">
        <v>223</v>
      </c>
      <c r="X570" s="418"/>
      <c r="Y570" s="445"/>
      <c r="Z570" s="420"/>
      <c r="AA570" s="421">
        <v>102.709</v>
      </c>
      <c r="AB570" s="421"/>
      <c r="AC570" s="454">
        <v>30</v>
      </c>
      <c r="AE570" s="445" t="s">
        <v>2479</v>
      </c>
      <c r="AF570" s="454">
        <v>1</v>
      </c>
      <c r="AG570" s="441">
        <v>43101</v>
      </c>
      <c r="AJ570" s="442">
        <v>43382</v>
      </c>
      <c r="AL570" s="446" t="s">
        <v>910</v>
      </c>
      <c r="AO570" s="445"/>
      <c r="AP570" s="454">
        <v>556691</v>
      </c>
      <c r="AQ570" s="443">
        <v>43382</v>
      </c>
      <c r="AT570" s="447"/>
      <c r="AU570" s="447"/>
      <c r="AV570" s="447"/>
      <c r="AY570" s="427" t="s">
        <v>1717</v>
      </c>
      <c r="AZ570" s="373"/>
      <c r="BB570" s="374" t="s">
        <v>1727</v>
      </c>
      <c r="BC570" s="445"/>
      <c r="BE570" s="448"/>
      <c r="BF570" s="449"/>
      <c r="BG570" s="450"/>
      <c r="BH570" s="445"/>
      <c r="BI570" s="491"/>
      <c r="BJ570" s="491">
        <v>1</v>
      </c>
      <c r="BK570" s="445" t="s">
        <v>333</v>
      </c>
      <c r="BL570" s="445" t="s">
        <v>3325</v>
      </c>
      <c r="BM570" s="445"/>
      <c r="BN570" s="445"/>
      <c r="BO570" s="445"/>
      <c r="BP570" s="445"/>
      <c r="BQ570" s="445" t="s">
        <v>1269</v>
      </c>
      <c r="BR570" s="445"/>
      <c r="BS570" s="445"/>
      <c r="BT570" s="445"/>
      <c r="BU570" s="445"/>
      <c r="BV570" s="445"/>
      <c r="BW570" s="445" t="s">
        <v>2401</v>
      </c>
      <c r="BX570" s="445"/>
      <c r="BY570" s="445"/>
    </row>
    <row r="571" spans="1:77" ht="15">
      <c r="A571" s="370" t="s">
        <v>1269</v>
      </c>
      <c r="B571" s="415" t="s">
        <v>177</v>
      </c>
      <c r="C571" s="416" t="s">
        <v>1682</v>
      </c>
      <c r="D571" s="444">
        <v>0</v>
      </c>
      <c r="E571" s="415" t="s">
        <v>1749</v>
      </c>
      <c r="F571" s="444">
        <v>3</v>
      </c>
      <c r="G571" s="415" t="s">
        <v>1750</v>
      </c>
      <c r="H571" s="444">
        <v>44</v>
      </c>
      <c r="I571" s="417" t="s">
        <v>1684</v>
      </c>
      <c r="J571" s="444">
        <v>0.3</v>
      </c>
      <c r="K571" s="444">
        <v>36</v>
      </c>
      <c r="L571" s="444"/>
      <c r="M571" s="444">
        <v>0</v>
      </c>
      <c r="N571" s="444">
        <v>3</v>
      </c>
      <c r="O571" s="444"/>
      <c r="P571" s="444"/>
      <c r="Q571" s="444"/>
      <c r="R571" s="444"/>
      <c r="S571" s="444">
        <v>0</v>
      </c>
      <c r="T571" s="444">
        <v>13</v>
      </c>
      <c r="U571" s="444"/>
      <c r="V571" s="444">
        <v>0</v>
      </c>
      <c r="W571" s="444">
        <v>1</v>
      </c>
      <c r="X571" s="418"/>
      <c r="Y571" s="445"/>
      <c r="Z571" s="420"/>
      <c r="AA571" s="421">
        <v>74.594999999999999</v>
      </c>
      <c r="AB571" s="421"/>
      <c r="AC571" s="454">
        <v>1</v>
      </c>
      <c r="AE571" s="445" t="s">
        <v>2480</v>
      </c>
      <c r="AF571" s="454">
        <v>1</v>
      </c>
      <c r="AG571" s="441">
        <v>43101</v>
      </c>
      <c r="AJ571" s="442">
        <v>43375</v>
      </c>
      <c r="AL571" s="446" t="s">
        <v>1015</v>
      </c>
      <c r="AO571" s="445"/>
      <c r="AP571" s="454">
        <v>556688</v>
      </c>
      <c r="AQ571" s="443">
        <v>43375</v>
      </c>
      <c r="AT571" s="447"/>
      <c r="AU571" s="447"/>
      <c r="AV571" s="447"/>
      <c r="AY571" s="427" t="s">
        <v>1717</v>
      </c>
      <c r="AZ571" s="373"/>
      <c r="BB571" s="374" t="s">
        <v>1727</v>
      </c>
      <c r="BC571" s="445"/>
      <c r="BE571" s="448"/>
      <c r="BF571" s="449"/>
      <c r="BG571" s="450"/>
      <c r="BH571" s="445"/>
      <c r="BI571" s="491"/>
      <c r="BJ571" s="491">
        <v>1</v>
      </c>
      <c r="BK571" s="445" t="s">
        <v>3326</v>
      </c>
      <c r="BL571" s="445" t="s">
        <v>3327</v>
      </c>
      <c r="BM571" s="445"/>
      <c r="BN571" s="445"/>
      <c r="BO571" s="445"/>
      <c r="BP571" s="445"/>
      <c r="BQ571" s="445" t="s">
        <v>1269</v>
      </c>
      <c r="BR571" s="445"/>
      <c r="BS571" s="445"/>
      <c r="BT571" s="445"/>
      <c r="BU571" s="445"/>
      <c r="BV571" s="445"/>
      <c r="BW571" s="445" t="s">
        <v>2401</v>
      </c>
      <c r="BX571" s="445"/>
      <c r="BY571" s="445"/>
    </row>
    <row r="572" spans="1:77" ht="15">
      <c r="A572" s="370" t="s">
        <v>1269</v>
      </c>
      <c r="B572" s="415" t="s">
        <v>177</v>
      </c>
      <c r="C572" s="416" t="s">
        <v>1682</v>
      </c>
      <c r="D572" s="444">
        <v>0</v>
      </c>
      <c r="E572" s="415" t="s">
        <v>1749</v>
      </c>
      <c r="F572" s="444">
        <v>3</v>
      </c>
      <c r="G572" s="415" t="s">
        <v>1750</v>
      </c>
      <c r="H572" s="444">
        <v>46</v>
      </c>
      <c r="I572" s="417" t="s">
        <v>1664</v>
      </c>
      <c r="J572" s="444">
        <v>0.3</v>
      </c>
      <c r="K572" s="444">
        <v>28</v>
      </c>
      <c r="L572" s="444"/>
      <c r="M572" s="444">
        <v>0</v>
      </c>
      <c r="N572" s="444">
        <v>0</v>
      </c>
      <c r="O572" s="444"/>
      <c r="P572" s="444"/>
      <c r="Q572" s="444"/>
      <c r="R572" s="444"/>
      <c r="S572" s="444">
        <v>0</v>
      </c>
      <c r="T572" s="444">
        <v>4</v>
      </c>
      <c r="U572" s="444"/>
      <c r="V572" s="444">
        <v>0</v>
      </c>
      <c r="W572" s="444">
        <v>0</v>
      </c>
      <c r="X572" s="418"/>
      <c r="Y572" s="445"/>
      <c r="Z572" s="420"/>
      <c r="AA572" s="421">
        <v>134.744</v>
      </c>
      <c r="AB572" s="421"/>
      <c r="AC572" s="454">
        <v>1</v>
      </c>
      <c r="AE572" s="445" t="s">
        <v>2480</v>
      </c>
      <c r="AF572" s="454">
        <v>1</v>
      </c>
      <c r="AG572" s="441">
        <v>43101</v>
      </c>
      <c r="AJ572" s="442">
        <v>43375</v>
      </c>
      <c r="AL572" s="446" t="s">
        <v>1015</v>
      </c>
      <c r="AO572" s="445"/>
      <c r="AP572" s="454">
        <v>556688</v>
      </c>
      <c r="AQ572" s="443">
        <v>43375</v>
      </c>
      <c r="AT572" s="447"/>
      <c r="AU572" s="447"/>
      <c r="AV572" s="447"/>
      <c r="AY572" s="427" t="s">
        <v>1717</v>
      </c>
      <c r="AZ572" s="373"/>
      <c r="BB572" s="374" t="s">
        <v>1727</v>
      </c>
      <c r="BC572" s="445"/>
      <c r="BE572" s="448"/>
      <c r="BF572" s="449"/>
      <c r="BG572" s="450"/>
      <c r="BH572" s="445"/>
      <c r="BI572" s="491"/>
      <c r="BJ572" s="491">
        <v>2</v>
      </c>
      <c r="BK572" s="445" t="s">
        <v>3292</v>
      </c>
      <c r="BL572" s="445" t="s">
        <v>3328</v>
      </c>
      <c r="BM572" s="445"/>
      <c r="BN572" s="445"/>
      <c r="BO572" s="445"/>
      <c r="BP572" s="445"/>
      <c r="BQ572" s="445" t="s">
        <v>1269</v>
      </c>
      <c r="BR572" s="445"/>
      <c r="BS572" s="445"/>
      <c r="BT572" s="445"/>
      <c r="BU572" s="445"/>
      <c r="BV572" s="445"/>
      <c r="BW572" s="445" t="s">
        <v>2401</v>
      </c>
      <c r="BX572" s="445"/>
      <c r="BY572" s="445"/>
    </row>
    <row r="573" spans="1:77" ht="15">
      <c r="A573" s="370" t="s">
        <v>1269</v>
      </c>
      <c r="B573" s="415" t="s">
        <v>216</v>
      </c>
      <c r="C573" s="416" t="s">
        <v>1682</v>
      </c>
      <c r="D573" s="444">
        <v>0</v>
      </c>
      <c r="E573" s="415" t="s">
        <v>1749</v>
      </c>
      <c r="F573" s="444">
        <v>3</v>
      </c>
      <c r="G573" s="415" t="s">
        <v>1750</v>
      </c>
      <c r="H573" s="444">
        <v>55</v>
      </c>
      <c r="I573" s="417" t="s">
        <v>1683</v>
      </c>
      <c r="J573" s="444">
        <v>2</v>
      </c>
      <c r="K573" s="444">
        <v>246</v>
      </c>
      <c r="L573" s="444"/>
      <c r="M573" s="444">
        <v>4</v>
      </c>
      <c r="N573" s="444">
        <v>0</v>
      </c>
      <c r="O573" s="444"/>
      <c r="P573" s="444"/>
      <c r="Q573" s="444"/>
      <c r="R573" s="444"/>
      <c r="S573" s="444">
        <v>0</v>
      </c>
      <c r="T573" s="444">
        <v>0</v>
      </c>
      <c r="U573" s="444"/>
      <c r="V573" s="444">
        <v>71</v>
      </c>
      <c r="W573" s="444">
        <v>0</v>
      </c>
      <c r="X573" s="418"/>
      <c r="Y573" s="445"/>
      <c r="Z573" s="420"/>
      <c r="AA573" s="421">
        <v>78.495999999999995</v>
      </c>
      <c r="AB573" s="421"/>
      <c r="AC573" s="454">
        <v>11</v>
      </c>
      <c r="AE573" s="445" t="s">
        <v>2481</v>
      </c>
      <c r="AF573" s="454">
        <v>1</v>
      </c>
      <c r="AG573" s="441">
        <v>43101</v>
      </c>
      <c r="AJ573" s="442">
        <v>43374</v>
      </c>
      <c r="AL573" s="446" t="s">
        <v>914</v>
      </c>
      <c r="AO573" s="445"/>
      <c r="AP573" s="454">
        <v>556687</v>
      </c>
      <c r="AQ573" s="443">
        <v>43371</v>
      </c>
      <c r="AT573" s="447"/>
      <c r="AU573" s="447"/>
      <c r="AV573" s="447"/>
      <c r="AY573" s="427" t="s">
        <v>1559</v>
      </c>
      <c r="AZ573" s="373"/>
      <c r="BB573" s="374" t="s">
        <v>2214</v>
      </c>
      <c r="BC573" s="445"/>
      <c r="BE573" s="448"/>
      <c r="BF573" s="449"/>
      <c r="BG573" s="450"/>
      <c r="BH573" s="445"/>
      <c r="BI573" s="491"/>
      <c r="BJ573" s="491">
        <v>1</v>
      </c>
      <c r="BK573" s="445" t="s">
        <v>3329</v>
      </c>
      <c r="BL573" s="445" t="s">
        <v>3330</v>
      </c>
      <c r="BM573" s="445"/>
      <c r="BN573" s="445"/>
      <c r="BO573" s="445"/>
      <c r="BP573" s="445"/>
      <c r="BQ573" s="445" t="s">
        <v>1269</v>
      </c>
      <c r="BR573" s="445"/>
      <c r="BS573" s="445"/>
      <c r="BT573" s="445"/>
      <c r="BU573" s="445"/>
      <c r="BV573" s="445"/>
      <c r="BW573" s="445" t="s">
        <v>2401</v>
      </c>
      <c r="BX573" s="445"/>
      <c r="BY573" s="445"/>
    </row>
    <row r="574" spans="1:77" ht="15">
      <c r="A574" s="370" t="s">
        <v>1269</v>
      </c>
      <c r="B574" s="415" t="s">
        <v>216</v>
      </c>
      <c r="C574" s="416" t="s">
        <v>1682</v>
      </c>
      <c r="D574" s="444">
        <v>0</v>
      </c>
      <c r="E574" s="415" t="s">
        <v>1749</v>
      </c>
      <c r="F574" s="444">
        <v>3</v>
      </c>
      <c r="G574" s="415" t="s">
        <v>1750</v>
      </c>
      <c r="H574" s="444">
        <v>57</v>
      </c>
      <c r="I574" s="417" t="s">
        <v>1769</v>
      </c>
      <c r="J574" s="444">
        <v>0.6</v>
      </c>
      <c r="K574" s="444">
        <v>47</v>
      </c>
      <c r="L574" s="444"/>
      <c r="M574" s="444">
        <v>13</v>
      </c>
      <c r="N574" s="444">
        <v>0</v>
      </c>
      <c r="O574" s="444"/>
      <c r="P574" s="444"/>
      <c r="Q574" s="444"/>
      <c r="R574" s="444"/>
      <c r="S574" s="444">
        <v>0</v>
      </c>
      <c r="T574" s="444">
        <v>0</v>
      </c>
      <c r="U574" s="444"/>
      <c r="V574" s="444">
        <v>43</v>
      </c>
      <c r="W574" s="444">
        <v>0</v>
      </c>
      <c r="X574" s="418"/>
      <c r="Y574" s="445"/>
      <c r="Z574" s="420"/>
      <c r="AA574" s="421">
        <v>55.49</v>
      </c>
      <c r="AB574" s="421"/>
      <c r="AC574" s="454">
        <v>5</v>
      </c>
      <c r="AE574" s="445" t="s">
        <v>2482</v>
      </c>
      <c r="AF574" s="454">
        <v>1</v>
      </c>
      <c r="AG574" s="441">
        <v>43101</v>
      </c>
      <c r="AJ574" s="442">
        <v>43374</v>
      </c>
      <c r="AL574" s="446" t="s">
        <v>914</v>
      </c>
      <c r="AO574" s="445"/>
      <c r="AP574" s="454">
        <v>556687</v>
      </c>
      <c r="AQ574" s="443">
        <v>43371</v>
      </c>
      <c r="AT574" s="447"/>
      <c r="AU574" s="447"/>
      <c r="AV574" s="447"/>
      <c r="AY574" s="427" t="s">
        <v>1559</v>
      </c>
      <c r="AZ574" s="373"/>
      <c r="BB574" s="374" t="s">
        <v>2214</v>
      </c>
      <c r="BC574" s="445"/>
      <c r="BE574" s="448"/>
      <c r="BF574" s="449"/>
      <c r="BG574" s="450"/>
      <c r="BH574" s="445"/>
      <c r="BI574" s="491"/>
      <c r="BJ574" s="491">
        <v>2</v>
      </c>
      <c r="BK574" s="445" t="s">
        <v>3331</v>
      </c>
      <c r="BL574" s="445" t="s">
        <v>3332</v>
      </c>
      <c r="BM574" s="445"/>
      <c r="BN574" s="445"/>
      <c r="BO574" s="445"/>
      <c r="BP574" s="445"/>
      <c r="BQ574" s="445" t="s">
        <v>1269</v>
      </c>
      <c r="BR574" s="445"/>
      <c r="BS574" s="445"/>
      <c r="BT574" s="445"/>
      <c r="BU574" s="445"/>
      <c r="BV574" s="445"/>
      <c r="BW574" s="445" t="s">
        <v>2401</v>
      </c>
      <c r="BX574" s="445"/>
      <c r="BY574" s="445"/>
    </row>
    <row r="575" spans="1:77" ht="15">
      <c r="A575" s="370" t="s">
        <v>1269</v>
      </c>
      <c r="B575" s="415" t="s">
        <v>216</v>
      </c>
      <c r="C575" s="416" t="s">
        <v>1682</v>
      </c>
      <c r="D575" s="444">
        <v>0</v>
      </c>
      <c r="E575" s="415" t="s">
        <v>1749</v>
      </c>
      <c r="F575" s="444">
        <v>3</v>
      </c>
      <c r="G575" s="415" t="s">
        <v>1750</v>
      </c>
      <c r="H575" s="444">
        <v>57</v>
      </c>
      <c r="I575" s="417" t="s">
        <v>2084</v>
      </c>
      <c r="J575" s="444">
        <v>0.8</v>
      </c>
      <c r="K575" s="444">
        <v>29</v>
      </c>
      <c r="L575" s="444"/>
      <c r="M575" s="444">
        <v>5</v>
      </c>
      <c r="N575" s="444">
        <v>0</v>
      </c>
      <c r="O575" s="444"/>
      <c r="P575" s="444"/>
      <c r="Q575" s="444"/>
      <c r="R575" s="444"/>
      <c r="S575" s="444">
        <v>0</v>
      </c>
      <c r="T575" s="444">
        <v>0</v>
      </c>
      <c r="U575" s="444"/>
      <c r="V575" s="444">
        <v>19</v>
      </c>
      <c r="W575" s="444">
        <v>0</v>
      </c>
      <c r="X575" s="418"/>
      <c r="Y575" s="445"/>
      <c r="Z575" s="420"/>
      <c r="AA575" s="421">
        <v>58.848999999999997</v>
      </c>
      <c r="AB575" s="421"/>
      <c r="AC575" s="454">
        <v>2</v>
      </c>
      <c r="AE575" s="445" t="s">
        <v>2483</v>
      </c>
      <c r="AF575" s="454">
        <v>1</v>
      </c>
      <c r="AG575" s="441">
        <v>43101</v>
      </c>
      <c r="AJ575" s="442">
        <v>43374</v>
      </c>
      <c r="AL575" s="446" t="s">
        <v>914</v>
      </c>
      <c r="AO575" s="445"/>
      <c r="AP575" s="454">
        <v>556687</v>
      </c>
      <c r="AQ575" s="443">
        <v>43371</v>
      </c>
      <c r="AT575" s="447"/>
      <c r="AU575" s="447"/>
      <c r="AV575" s="447"/>
      <c r="AY575" s="427" t="s">
        <v>1559</v>
      </c>
      <c r="AZ575" s="373"/>
      <c r="BB575" s="374" t="s">
        <v>2214</v>
      </c>
      <c r="BC575" s="445"/>
      <c r="BE575" s="448"/>
      <c r="BF575" s="449"/>
      <c r="BG575" s="450"/>
      <c r="BH575" s="445"/>
      <c r="BI575" s="491"/>
      <c r="BJ575" s="491">
        <v>3</v>
      </c>
      <c r="BK575" s="445" t="s">
        <v>3333</v>
      </c>
      <c r="BL575" s="445" t="s">
        <v>3334</v>
      </c>
      <c r="BM575" s="445"/>
      <c r="BN575" s="445"/>
      <c r="BO575" s="445"/>
      <c r="BP575" s="445"/>
      <c r="BQ575" s="445" t="s">
        <v>1269</v>
      </c>
      <c r="BR575" s="445"/>
      <c r="BS575" s="445"/>
      <c r="BT575" s="445"/>
      <c r="BU575" s="445"/>
      <c r="BV575" s="445"/>
      <c r="BW575" s="445" t="s">
        <v>2401</v>
      </c>
      <c r="BX575" s="445"/>
      <c r="BY575" s="445"/>
    </row>
    <row r="576" spans="1:77" ht="15">
      <c r="A576" s="370" t="s">
        <v>1269</v>
      </c>
      <c r="B576" s="415" t="s">
        <v>216</v>
      </c>
      <c r="C576" s="416" t="s">
        <v>1682</v>
      </c>
      <c r="D576" s="444">
        <v>0</v>
      </c>
      <c r="E576" s="415" t="s">
        <v>1749</v>
      </c>
      <c r="F576" s="444">
        <v>3</v>
      </c>
      <c r="G576" s="415" t="s">
        <v>1750</v>
      </c>
      <c r="H576" s="444">
        <v>65</v>
      </c>
      <c r="I576" s="417" t="s">
        <v>1685</v>
      </c>
      <c r="J576" s="444">
        <v>0.2</v>
      </c>
      <c r="K576" s="444">
        <v>27</v>
      </c>
      <c r="L576" s="444"/>
      <c r="M576" s="444">
        <v>1</v>
      </c>
      <c r="N576" s="444">
        <v>0</v>
      </c>
      <c r="O576" s="444"/>
      <c r="P576" s="444"/>
      <c r="Q576" s="444"/>
      <c r="R576" s="444"/>
      <c r="S576" s="444">
        <v>0</v>
      </c>
      <c r="T576" s="444">
        <v>0</v>
      </c>
      <c r="U576" s="444"/>
      <c r="V576" s="444">
        <v>10</v>
      </c>
      <c r="W576" s="444">
        <v>0</v>
      </c>
      <c r="X576" s="418"/>
      <c r="Y576" s="445"/>
      <c r="Z576" s="420"/>
      <c r="AA576" s="421">
        <v>73.358999999999995</v>
      </c>
      <c r="AB576" s="421"/>
      <c r="AC576" s="454">
        <v>2</v>
      </c>
      <c r="AE576" s="445" t="s">
        <v>2484</v>
      </c>
      <c r="AF576" s="454">
        <v>1</v>
      </c>
      <c r="AG576" s="441">
        <v>43101</v>
      </c>
      <c r="AJ576" s="442">
        <v>43374</v>
      </c>
      <c r="AL576" s="446" t="s">
        <v>914</v>
      </c>
      <c r="AO576" s="445"/>
      <c r="AP576" s="454">
        <v>556687</v>
      </c>
      <c r="AQ576" s="443">
        <v>43371</v>
      </c>
      <c r="AT576" s="447"/>
      <c r="AU576" s="447"/>
      <c r="AV576" s="447"/>
      <c r="AY576" s="427" t="s">
        <v>1559</v>
      </c>
      <c r="AZ576" s="373"/>
      <c r="BB576" s="374" t="s">
        <v>2214</v>
      </c>
      <c r="BC576" s="445"/>
      <c r="BE576" s="448"/>
      <c r="BF576" s="449"/>
      <c r="BG576" s="450"/>
      <c r="BH576" s="445"/>
      <c r="BI576" s="491"/>
      <c r="BJ576" s="491">
        <v>4</v>
      </c>
      <c r="BK576" s="445" t="s">
        <v>2797</v>
      </c>
      <c r="BL576" s="445" t="s">
        <v>3335</v>
      </c>
      <c r="BM576" s="445"/>
      <c r="BN576" s="445"/>
      <c r="BO576" s="445"/>
      <c r="BP576" s="445"/>
      <c r="BQ576" s="445" t="s">
        <v>1269</v>
      </c>
      <c r="BR576" s="445"/>
      <c r="BS576" s="445"/>
      <c r="BT576" s="445"/>
      <c r="BU576" s="445"/>
      <c r="BV576" s="445"/>
      <c r="BW576" s="445" t="s">
        <v>2401</v>
      </c>
      <c r="BX576" s="445"/>
      <c r="BY576" s="445"/>
    </row>
    <row r="577" spans="1:77" ht="15">
      <c r="A577" s="370" t="s">
        <v>1269</v>
      </c>
      <c r="B577" s="415" t="s">
        <v>216</v>
      </c>
      <c r="C577" s="416" t="s">
        <v>1682</v>
      </c>
      <c r="D577" s="444">
        <v>0</v>
      </c>
      <c r="E577" s="415" t="s">
        <v>1749</v>
      </c>
      <c r="F577" s="444">
        <v>3</v>
      </c>
      <c r="G577" s="415" t="s">
        <v>1750</v>
      </c>
      <c r="H577" s="444">
        <v>85</v>
      </c>
      <c r="I577" s="417" t="s">
        <v>1632</v>
      </c>
      <c r="J577" s="444">
        <v>1.4</v>
      </c>
      <c r="K577" s="444">
        <v>112</v>
      </c>
      <c r="L577" s="444"/>
      <c r="M577" s="444">
        <v>7</v>
      </c>
      <c r="N577" s="444">
        <v>0</v>
      </c>
      <c r="O577" s="444"/>
      <c r="P577" s="444"/>
      <c r="Q577" s="444"/>
      <c r="R577" s="444"/>
      <c r="S577" s="444">
        <v>0</v>
      </c>
      <c r="T577" s="444">
        <v>0</v>
      </c>
      <c r="U577" s="444"/>
      <c r="V577" s="444">
        <v>31</v>
      </c>
      <c r="W577" s="444">
        <v>0</v>
      </c>
      <c r="X577" s="418"/>
      <c r="Y577" s="445"/>
      <c r="Z577" s="420"/>
      <c r="AA577" s="421">
        <v>73.459999999999994</v>
      </c>
      <c r="AB577" s="421"/>
      <c r="AC577" s="454">
        <v>5</v>
      </c>
      <c r="AE577" s="445" t="s">
        <v>2485</v>
      </c>
      <c r="AF577" s="454">
        <v>1</v>
      </c>
      <c r="AG577" s="441">
        <v>43101</v>
      </c>
      <c r="AJ577" s="442">
        <v>43374</v>
      </c>
      <c r="AL577" s="446" t="s">
        <v>1772</v>
      </c>
      <c r="AO577" s="445"/>
      <c r="AP577" s="454">
        <v>556687</v>
      </c>
      <c r="AQ577" s="443">
        <v>43371</v>
      </c>
      <c r="AT577" s="447"/>
      <c r="AU577" s="447"/>
      <c r="AV577" s="447"/>
      <c r="AY577" s="427" t="s">
        <v>1559</v>
      </c>
      <c r="AZ577" s="373"/>
      <c r="BB577" s="374" t="s">
        <v>2214</v>
      </c>
      <c r="BC577" s="445"/>
      <c r="BE577" s="448"/>
      <c r="BF577" s="449"/>
      <c r="BG577" s="450"/>
      <c r="BH577" s="445"/>
      <c r="BI577" s="491"/>
      <c r="BJ577" s="491">
        <v>5</v>
      </c>
      <c r="BK577" s="445" t="s">
        <v>255</v>
      </c>
      <c r="BL577" s="445" t="s">
        <v>3336</v>
      </c>
      <c r="BM577" s="445"/>
      <c r="BN577" s="445"/>
      <c r="BO577" s="445"/>
      <c r="BP577" s="445"/>
      <c r="BQ577" s="445" t="s">
        <v>1269</v>
      </c>
      <c r="BR577" s="445"/>
      <c r="BS577" s="445"/>
      <c r="BT577" s="445"/>
      <c r="BU577" s="445"/>
      <c r="BV577" s="445"/>
      <c r="BW577" s="445" t="s">
        <v>2401</v>
      </c>
      <c r="BX577" s="445"/>
      <c r="BY577" s="445"/>
    </row>
    <row r="578" spans="1:77" ht="15">
      <c r="A578" s="370" t="s">
        <v>1269</v>
      </c>
      <c r="B578" s="415" t="s">
        <v>296</v>
      </c>
      <c r="C578" s="416" t="s">
        <v>1682</v>
      </c>
      <c r="D578" s="444">
        <v>0</v>
      </c>
      <c r="E578" s="415" t="s">
        <v>1749</v>
      </c>
      <c r="F578" s="444">
        <v>3</v>
      </c>
      <c r="G578" s="415" t="s">
        <v>1750</v>
      </c>
      <c r="H578" s="444">
        <v>42</v>
      </c>
      <c r="I578" s="417" t="s">
        <v>1687</v>
      </c>
      <c r="J578" s="444">
        <v>3.7</v>
      </c>
      <c r="K578" s="444">
        <v>225</v>
      </c>
      <c r="L578" s="444"/>
      <c r="M578" s="444">
        <v>0</v>
      </c>
      <c r="N578" s="444">
        <v>5</v>
      </c>
      <c r="O578" s="444"/>
      <c r="P578" s="444"/>
      <c r="Q578" s="444"/>
      <c r="R578" s="444"/>
      <c r="S578" s="444">
        <v>0</v>
      </c>
      <c r="T578" s="444">
        <v>0</v>
      </c>
      <c r="U578" s="444">
        <v>32</v>
      </c>
      <c r="V578" s="444">
        <v>13</v>
      </c>
      <c r="W578" s="444">
        <v>54</v>
      </c>
      <c r="X578" s="418"/>
      <c r="Y578" s="445"/>
      <c r="Z578" s="420"/>
      <c r="AA578" s="421">
        <v>79.855000000000004</v>
      </c>
      <c r="AB578" s="421"/>
      <c r="AC578" s="454">
        <v>9</v>
      </c>
      <c r="AE578" s="445" t="s">
        <v>2486</v>
      </c>
      <c r="AF578" s="454">
        <v>1</v>
      </c>
      <c r="AG578" s="441">
        <v>43101</v>
      </c>
      <c r="AJ578" s="442">
        <v>43375</v>
      </c>
      <c r="AL578" s="446" t="s">
        <v>1026</v>
      </c>
      <c r="AO578" s="445"/>
      <c r="AP578" s="454">
        <v>556689</v>
      </c>
      <c r="AQ578" s="443">
        <v>43375</v>
      </c>
      <c r="AT578" s="447"/>
      <c r="AU578" s="447"/>
      <c r="AV578" s="447"/>
      <c r="AY578" s="427" t="s">
        <v>1722</v>
      </c>
      <c r="AZ578" s="373"/>
      <c r="BB578" s="374" t="s">
        <v>1728</v>
      </c>
      <c r="BC578" s="445"/>
      <c r="BE578" s="448"/>
      <c r="BF578" s="449"/>
      <c r="BG578" s="450"/>
      <c r="BH578" s="445"/>
      <c r="BI578" s="491"/>
      <c r="BJ578" s="491">
        <v>1</v>
      </c>
      <c r="BK578" s="445" t="s">
        <v>3337</v>
      </c>
      <c r="BL578" s="445" t="s">
        <v>3338</v>
      </c>
      <c r="BM578" s="445"/>
      <c r="BN578" s="445"/>
      <c r="BO578" s="445"/>
      <c r="BP578" s="445"/>
      <c r="BQ578" s="445" t="s">
        <v>1269</v>
      </c>
      <c r="BR578" s="445"/>
      <c r="BS578" s="445"/>
      <c r="BT578" s="445"/>
      <c r="BU578" s="445"/>
      <c r="BV578" s="445"/>
      <c r="BW578" s="445" t="s">
        <v>2401</v>
      </c>
      <c r="BX578" s="445"/>
      <c r="BY578" s="445"/>
    </row>
    <row r="579" spans="1:77" ht="15">
      <c r="A579" s="370" t="s">
        <v>1269</v>
      </c>
      <c r="B579" s="415" t="s">
        <v>296</v>
      </c>
      <c r="C579" s="416" t="s">
        <v>1682</v>
      </c>
      <c r="D579" s="444">
        <v>0</v>
      </c>
      <c r="E579" s="415" t="s">
        <v>1749</v>
      </c>
      <c r="F579" s="444">
        <v>3</v>
      </c>
      <c r="G579" s="415" t="s">
        <v>1750</v>
      </c>
      <c r="H579" s="444">
        <v>71</v>
      </c>
      <c r="I579" s="417" t="s">
        <v>1425</v>
      </c>
      <c r="J579" s="444">
        <v>5.3</v>
      </c>
      <c r="K579" s="444">
        <v>325</v>
      </c>
      <c r="L579" s="444"/>
      <c r="M579" s="444">
        <v>0</v>
      </c>
      <c r="N579" s="444">
        <v>10</v>
      </c>
      <c r="O579" s="444"/>
      <c r="P579" s="444"/>
      <c r="Q579" s="444"/>
      <c r="R579" s="444"/>
      <c r="S579" s="444">
        <v>0</v>
      </c>
      <c r="T579" s="444">
        <v>0</v>
      </c>
      <c r="U579" s="444">
        <v>44</v>
      </c>
      <c r="V579" s="444">
        <v>5</v>
      </c>
      <c r="W579" s="444">
        <v>102</v>
      </c>
      <c r="X579" s="418"/>
      <c r="Y579" s="445"/>
      <c r="Z579" s="420"/>
      <c r="AA579" s="421">
        <v>79.707999999999998</v>
      </c>
      <c r="AB579" s="421"/>
      <c r="AC579" s="454">
        <v>13</v>
      </c>
      <c r="AE579" s="445" t="s">
        <v>2487</v>
      </c>
      <c r="AF579" s="454">
        <v>1</v>
      </c>
      <c r="AG579" s="441">
        <v>43101</v>
      </c>
      <c r="AJ579" s="442">
        <v>43375</v>
      </c>
      <c r="AL579" s="446" t="s">
        <v>915</v>
      </c>
      <c r="AO579" s="445"/>
      <c r="AP579" s="454">
        <v>556689</v>
      </c>
      <c r="AQ579" s="443">
        <v>43375</v>
      </c>
      <c r="AT579" s="447"/>
      <c r="AU579" s="447"/>
      <c r="AV579" s="447"/>
      <c r="AY579" s="427" t="s">
        <v>1722</v>
      </c>
      <c r="AZ579" s="373"/>
      <c r="BB579" s="374" t="s">
        <v>1728</v>
      </c>
      <c r="BC579" s="445"/>
      <c r="BE579" s="448"/>
      <c r="BF579" s="449"/>
      <c r="BG579" s="450"/>
      <c r="BH579" s="445"/>
      <c r="BI579" s="491"/>
      <c r="BJ579" s="491">
        <v>2</v>
      </c>
      <c r="BK579" s="445" t="s">
        <v>3339</v>
      </c>
      <c r="BL579" s="445" t="s">
        <v>3340</v>
      </c>
      <c r="BM579" s="445"/>
      <c r="BN579" s="445"/>
      <c r="BO579" s="445"/>
      <c r="BP579" s="445"/>
      <c r="BQ579" s="445" t="s">
        <v>1269</v>
      </c>
      <c r="BR579" s="445"/>
      <c r="BS579" s="445"/>
      <c r="BT579" s="445"/>
      <c r="BU579" s="445"/>
      <c r="BV579" s="445"/>
      <c r="BW579" s="445" t="s">
        <v>2401</v>
      </c>
      <c r="BX579" s="445"/>
      <c r="BY579" s="445"/>
    </row>
    <row r="580" spans="1:77" ht="15">
      <c r="A580" s="370" t="s">
        <v>1269</v>
      </c>
      <c r="B580" s="415" t="s">
        <v>296</v>
      </c>
      <c r="C580" s="416" t="s">
        <v>1682</v>
      </c>
      <c r="D580" s="444">
        <v>0</v>
      </c>
      <c r="E580" s="415" t="s">
        <v>1749</v>
      </c>
      <c r="F580" s="444">
        <v>3</v>
      </c>
      <c r="G580" s="415" t="s">
        <v>1750</v>
      </c>
      <c r="H580" s="444">
        <v>86</v>
      </c>
      <c r="I580" s="417" t="s">
        <v>1422</v>
      </c>
      <c r="J580" s="444">
        <v>4.0999999999999996</v>
      </c>
      <c r="K580" s="444">
        <v>174</v>
      </c>
      <c r="L580" s="444"/>
      <c r="M580" s="444">
        <v>0</v>
      </c>
      <c r="N580" s="444">
        <v>3</v>
      </c>
      <c r="O580" s="444"/>
      <c r="P580" s="444"/>
      <c r="Q580" s="444"/>
      <c r="R580" s="444"/>
      <c r="S580" s="444">
        <v>0</v>
      </c>
      <c r="T580" s="444">
        <v>0</v>
      </c>
      <c r="U580" s="444">
        <v>25</v>
      </c>
      <c r="V580" s="444">
        <v>4</v>
      </c>
      <c r="W580" s="444">
        <v>76</v>
      </c>
      <c r="X580" s="418"/>
      <c r="Y580" s="445"/>
      <c r="Z580" s="420"/>
      <c r="AA580" s="421">
        <v>77.087000000000003</v>
      </c>
      <c r="AB580" s="421"/>
      <c r="AC580" s="454">
        <v>8</v>
      </c>
      <c r="AE580" s="445" t="s">
        <v>2488</v>
      </c>
      <c r="AF580" s="454">
        <v>1</v>
      </c>
      <c r="AG580" s="441">
        <v>43101</v>
      </c>
      <c r="AJ580" s="442">
        <v>43375</v>
      </c>
      <c r="AL580" s="446" t="s">
        <v>915</v>
      </c>
      <c r="AO580" s="445"/>
      <c r="AP580" s="454">
        <v>556689</v>
      </c>
      <c r="AQ580" s="443">
        <v>43375</v>
      </c>
      <c r="AT580" s="447"/>
      <c r="AU580" s="447"/>
      <c r="AV580" s="447"/>
      <c r="AY580" s="427" t="s">
        <v>1722</v>
      </c>
      <c r="AZ580" s="373"/>
      <c r="BB580" s="374" t="s">
        <v>1728</v>
      </c>
      <c r="BC580" s="445"/>
      <c r="BE580" s="448"/>
      <c r="BF580" s="449"/>
      <c r="BG580" s="450"/>
      <c r="BH580" s="445"/>
      <c r="BI580" s="491"/>
      <c r="BJ580" s="491">
        <v>3</v>
      </c>
      <c r="BK580" s="445" t="s">
        <v>3090</v>
      </c>
      <c r="BL580" s="445" t="s">
        <v>3341</v>
      </c>
      <c r="BM580" s="445"/>
      <c r="BN580" s="445"/>
      <c r="BO580" s="445"/>
      <c r="BP580" s="445"/>
      <c r="BQ580" s="445" t="s">
        <v>1269</v>
      </c>
      <c r="BR580" s="445"/>
      <c r="BS580" s="445"/>
      <c r="BT580" s="445"/>
      <c r="BU580" s="445"/>
      <c r="BV580" s="445"/>
      <c r="BW580" s="445" t="s">
        <v>2401</v>
      </c>
      <c r="BX580" s="445"/>
      <c r="BY580" s="445"/>
    </row>
    <row r="581" spans="1:77" ht="15">
      <c r="A581" s="370" t="s">
        <v>1269</v>
      </c>
      <c r="B581" s="415" t="s">
        <v>296</v>
      </c>
      <c r="C581" s="416" t="s">
        <v>1682</v>
      </c>
      <c r="D581" s="444">
        <v>0</v>
      </c>
      <c r="E581" s="415" t="s">
        <v>1749</v>
      </c>
      <c r="F581" s="444">
        <v>3</v>
      </c>
      <c r="G581" s="415" t="s">
        <v>1750</v>
      </c>
      <c r="H581" s="444">
        <v>132</v>
      </c>
      <c r="I581" s="417" t="s">
        <v>1422</v>
      </c>
      <c r="J581" s="444">
        <v>8.5</v>
      </c>
      <c r="K581" s="444">
        <v>711</v>
      </c>
      <c r="L581" s="444"/>
      <c r="M581" s="444">
        <v>0</v>
      </c>
      <c r="N581" s="444">
        <v>39</v>
      </c>
      <c r="O581" s="444"/>
      <c r="P581" s="444"/>
      <c r="Q581" s="444"/>
      <c r="R581" s="444"/>
      <c r="S581" s="444">
        <v>0</v>
      </c>
      <c r="T581" s="444">
        <v>0</v>
      </c>
      <c r="U581" s="444">
        <v>67</v>
      </c>
      <c r="V581" s="444">
        <v>20</v>
      </c>
      <c r="W581" s="444">
        <v>249</v>
      </c>
      <c r="X581" s="418"/>
      <c r="Y581" s="445"/>
      <c r="Z581" s="420"/>
      <c r="AA581" s="421">
        <v>74.076999999999998</v>
      </c>
      <c r="AB581" s="421"/>
      <c r="AC581" s="454">
        <v>30</v>
      </c>
      <c r="AE581" s="445" t="s">
        <v>2489</v>
      </c>
      <c r="AF581" s="454">
        <v>1</v>
      </c>
      <c r="AG581" s="441">
        <v>43101</v>
      </c>
      <c r="AJ581" s="442">
        <v>43375</v>
      </c>
      <c r="AL581" s="446" t="s">
        <v>1976</v>
      </c>
      <c r="AO581" s="445"/>
      <c r="AP581" s="454">
        <v>556689</v>
      </c>
      <c r="AQ581" s="443">
        <v>43375</v>
      </c>
      <c r="AT581" s="447"/>
      <c r="AU581" s="447"/>
      <c r="AV581" s="447"/>
      <c r="AY581" s="427" t="s">
        <v>1722</v>
      </c>
      <c r="AZ581" s="373"/>
      <c r="BB581" s="374" t="s">
        <v>1728</v>
      </c>
      <c r="BC581" s="445"/>
      <c r="BE581" s="448"/>
      <c r="BF581" s="449"/>
      <c r="BG581" s="450"/>
      <c r="BH581" s="445"/>
      <c r="BI581" s="491"/>
      <c r="BJ581" s="491">
        <v>4</v>
      </c>
      <c r="BK581" s="445" t="s">
        <v>3342</v>
      </c>
      <c r="BL581" s="445" t="s">
        <v>3343</v>
      </c>
      <c r="BM581" s="445"/>
      <c r="BN581" s="445"/>
      <c r="BO581" s="445"/>
      <c r="BP581" s="445"/>
      <c r="BQ581" s="445" t="s">
        <v>1269</v>
      </c>
      <c r="BR581" s="445"/>
      <c r="BS581" s="445"/>
      <c r="BT581" s="445"/>
      <c r="BU581" s="445"/>
      <c r="BV581" s="445"/>
      <c r="BW581" s="445" t="s">
        <v>2401</v>
      </c>
      <c r="BX581" s="445"/>
      <c r="BY581" s="445"/>
    </row>
    <row r="582" spans="1:77" ht="15">
      <c r="A582" s="370" t="s">
        <v>1269</v>
      </c>
      <c r="B582" s="415" t="s">
        <v>296</v>
      </c>
      <c r="C582" s="416" t="s">
        <v>1682</v>
      </c>
      <c r="D582" s="444">
        <v>0</v>
      </c>
      <c r="E582" s="415" t="s">
        <v>1749</v>
      </c>
      <c r="F582" s="444">
        <v>3</v>
      </c>
      <c r="G582" s="415" t="s">
        <v>1750</v>
      </c>
      <c r="H582" s="444">
        <v>132</v>
      </c>
      <c r="I582" s="417" t="s">
        <v>1422</v>
      </c>
      <c r="J582" s="444">
        <v>8.5</v>
      </c>
      <c r="K582" s="444">
        <v>711</v>
      </c>
      <c r="L582" s="444"/>
      <c r="M582" s="444">
        <v>0</v>
      </c>
      <c r="N582" s="444">
        <v>39</v>
      </c>
      <c r="O582" s="444"/>
      <c r="P582" s="444"/>
      <c r="Q582" s="444"/>
      <c r="R582" s="444"/>
      <c r="S582" s="444">
        <v>0</v>
      </c>
      <c r="T582" s="444">
        <v>0</v>
      </c>
      <c r="U582" s="444">
        <v>67</v>
      </c>
      <c r="V582" s="444">
        <v>20</v>
      </c>
      <c r="W582" s="444">
        <v>249</v>
      </c>
      <c r="X582" s="418"/>
      <c r="Y582" s="445"/>
      <c r="Z582" s="420"/>
      <c r="AA582" s="421">
        <v>74.076999999999998</v>
      </c>
      <c r="AB582" s="421"/>
      <c r="AC582" s="454">
        <v>30</v>
      </c>
      <c r="AE582" s="445" t="s">
        <v>2489</v>
      </c>
      <c r="AF582" s="454">
        <v>1</v>
      </c>
      <c r="AG582" s="441">
        <v>43101</v>
      </c>
      <c r="AJ582" s="442">
        <v>43375</v>
      </c>
      <c r="AL582" s="446" t="s">
        <v>1976</v>
      </c>
      <c r="AO582" s="445"/>
      <c r="AP582" s="454">
        <v>556689</v>
      </c>
      <c r="AQ582" s="443">
        <v>43375</v>
      </c>
      <c r="AT582" s="447"/>
      <c r="AU582" s="447"/>
      <c r="AV582" s="447"/>
      <c r="AY582" s="427" t="s">
        <v>1722</v>
      </c>
      <c r="AZ582" s="373"/>
      <c r="BB582" s="374" t="s">
        <v>1728</v>
      </c>
      <c r="BC582" s="445"/>
      <c r="BE582" s="448"/>
      <c r="BF582" s="449"/>
      <c r="BG582" s="450"/>
      <c r="BH582" s="445"/>
      <c r="BI582" s="491"/>
      <c r="BJ582" s="491">
        <v>4</v>
      </c>
      <c r="BK582" s="445" t="s">
        <v>3342</v>
      </c>
      <c r="BL582" s="445" t="s">
        <v>3343</v>
      </c>
      <c r="BM582" s="445"/>
      <c r="BN582" s="445"/>
      <c r="BO582" s="445"/>
      <c r="BP582" s="445"/>
      <c r="BQ582" s="445" t="s">
        <v>1269</v>
      </c>
      <c r="BR582" s="445"/>
      <c r="BS582" s="445"/>
      <c r="BT582" s="445"/>
      <c r="BU582" s="445"/>
      <c r="BV582" s="445"/>
      <c r="BW582" s="445" t="s">
        <v>2490</v>
      </c>
      <c r="BX582" s="445"/>
      <c r="BY582" s="445"/>
    </row>
    <row r="583" spans="1:77" ht="15">
      <c r="A583" s="370" t="s">
        <v>1269</v>
      </c>
      <c r="B583" s="415" t="s">
        <v>296</v>
      </c>
      <c r="C583" s="416" t="s">
        <v>1682</v>
      </c>
      <c r="D583" s="444">
        <v>0</v>
      </c>
      <c r="E583" s="415" t="s">
        <v>1749</v>
      </c>
      <c r="F583" s="444">
        <v>3</v>
      </c>
      <c r="G583" s="415" t="s">
        <v>1750</v>
      </c>
      <c r="H583" s="444">
        <v>132</v>
      </c>
      <c r="I583" s="417" t="s">
        <v>1422</v>
      </c>
      <c r="J583" s="444">
        <v>8.5</v>
      </c>
      <c r="K583" s="444">
        <v>711</v>
      </c>
      <c r="L583" s="444"/>
      <c r="M583" s="444">
        <v>0</v>
      </c>
      <c r="N583" s="444">
        <v>39</v>
      </c>
      <c r="O583" s="444"/>
      <c r="P583" s="444"/>
      <c r="Q583" s="444"/>
      <c r="R583" s="444"/>
      <c r="S583" s="444">
        <v>0</v>
      </c>
      <c r="T583" s="444">
        <v>0</v>
      </c>
      <c r="U583" s="444">
        <v>67</v>
      </c>
      <c r="V583" s="444">
        <v>20</v>
      </c>
      <c r="W583" s="444">
        <v>249</v>
      </c>
      <c r="X583" s="418"/>
      <c r="Y583" s="445"/>
      <c r="Z583" s="420"/>
      <c r="AA583" s="421">
        <v>74.076999999999998</v>
      </c>
      <c r="AB583" s="421"/>
      <c r="AC583" s="454">
        <v>30</v>
      </c>
      <c r="AE583" s="445" t="s">
        <v>2489</v>
      </c>
      <c r="AF583" s="454">
        <v>1</v>
      </c>
      <c r="AG583" s="441">
        <v>43101</v>
      </c>
      <c r="AJ583" s="442">
        <v>43375</v>
      </c>
      <c r="AL583" s="446" t="s">
        <v>1976</v>
      </c>
      <c r="AO583" s="445"/>
      <c r="AP583" s="454">
        <v>556689</v>
      </c>
      <c r="AQ583" s="443">
        <v>43375</v>
      </c>
      <c r="AT583" s="447"/>
      <c r="AU583" s="447"/>
      <c r="AV583" s="447"/>
      <c r="AY583" s="427" t="s">
        <v>1722</v>
      </c>
      <c r="AZ583" s="373"/>
      <c r="BB583" s="374" t="s">
        <v>1728</v>
      </c>
      <c r="BC583" s="445"/>
      <c r="BE583" s="448"/>
      <c r="BF583" s="449"/>
      <c r="BG583" s="450"/>
      <c r="BH583" s="445"/>
      <c r="BI583" s="491"/>
      <c r="BJ583" s="491">
        <v>4</v>
      </c>
      <c r="BK583" s="445" t="s">
        <v>3342</v>
      </c>
      <c r="BL583" s="445" t="s">
        <v>3343</v>
      </c>
      <c r="BM583" s="445"/>
      <c r="BN583" s="445"/>
      <c r="BO583" s="445"/>
      <c r="BP583" s="445"/>
      <c r="BQ583" s="445" t="s">
        <v>1269</v>
      </c>
      <c r="BR583" s="445"/>
      <c r="BS583" s="445"/>
      <c r="BT583" s="445"/>
      <c r="BU583" s="445"/>
      <c r="BV583" s="445"/>
      <c r="BW583" s="445" t="s">
        <v>2490</v>
      </c>
      <c r="BX583" s="445"/>
      <c r="BY583" s="445"/>
    </row>
    <row r="584" spans="1:77" ht="15">
      <c r="A584" s="370" t="s">
        <v>1269</v>
      </c>
      <c r="B584" s="415" t="s">
        <v>296</v>
      </c>
      <c r="C584" s="416" t="s">
        <v>1682</v>
      </c>
      <c r="D584" s="444">
        <v>0</v>
      </c>
      <c r="E584" s="415" t="s">
        <v>1749</v>
      </c>
      <c r="F584" s="444">
        <v>3</v>
      </c>
      <c r="G584" s="415" t="s">
        <v>1750</v>
      </c>
      <c r="H584" s="444">
        <v>132</v>
      </c>
      <c r="I584" s="417" t="s">
        <v>1422</v>
      </c>
      <c r="J584" s="444">
        <v>8.5</v>
      </c>
      <c r="K584" s="444">
        <v>711</v>
      </c>
      <c r="L584" s="444"/>
      <c r="M584" s="444">
        <v>0</v>
      </c>
      <c r="N584" s="444">
        <v>39</v>
      </c>
      <c r="O584" s="444"/>
      <c r="P584" s="444"/>
      <c r="Q584" s="444"/>
      <c r="R584" s="444"/>
      <c r="S584" s="444">
        <v>0</v>
      </c>
      <c r="T584" s="444">
        <v>0</v>
      </c>
      <c r="U584" s="444">
        <v>67</v>
      </c>
      <c r="V584" s="444">
        <v>20</v>
      </c>
      <c r="W584" s="444">
        <v>249</v>
      </c>
      <c r="X584" s="418"/>
      <c r="Y584" s="445"/>
      <c r="Z584" s="420"/>
      <c r="AA584" s="421">
        <v>74.076999999999998</v>
      </c>
      <c r="AB584" s="421"/>
      <c r="AC584" s="454">
        <v>30</v>
      </c>
      <c r="AE584" s="445" t="s">
        <v>2489</v>
      </c>
      <c r="AF584" s="454">
        <v>1</v>
      </c>
      <c r="AG584" s="441">
        <v>43101</v>
      </c>
      <c r="AJ584" s="442">
        <v>43375</v>
      </c>
      <c r="AL584" s="446" t="s">
        <v>1976</v>
      </c>
      <c r="AO584" s="445"/>
      <c r="AP584" s="454">
        <v>556689</v>
      </c>
      <c r="AQ584" s="443">
        <v>43375</v>
      </c>
      <c r="AT584" s="447"/>
      <c r="AU584" s="447"/>
      <c r="AV584" s="447"/>
      <c r="AY584" s="427" t="s">
        <v>1722</v>
      </c>
      <c r="AZ584" s="373"/>
      <c r="BB584" s="374" t="s">
        <v>1728</v>
      </c>
      <c r="BC584" s="445"/>
      <c r="BE584" s="448"/>
      <c r="BF584" s="449"/>
      <c r="BG584" s="450"/>
      <c r="BH584" s="445"/>
      <c r="BI584" s="491"/>
      <c r="BJ584" s="491">
        <v>4</v>
      </c>
      <c r="BK584" s="445" t="s">
        <v>3342</v>
      </c>
      <c r="BL584" s="445" t="s">
        <v>3343</v>
      </c>
      <c r="BM584" s="445"/>
      <c r="BN584" s="445"/>
      <c r="BO584" s="445"/>
      <c r="BP584" s="445"/>
      <c r="BQ584" s="445" t="s">
        <v>1269</v>
      </c>
      <c r="BR584" s="445"/>
      <c r="BS584" s="445"/>
      <c r="BT584" s="445"/>
      <c r="BU584" s="445"/>
      <c r="BV584" s="445"/>
      <c r="BW584" s="445" t="s">
        <v>2490</v>
      </c>
      <c r="BX584" s="445"/>
      <c r="BY584" s="445"/>
    </row>
    <row r="585" spans="1:77" ht="15">
      <c r="A585" s="370" t="s">
        <v>31</v>
      </c>
      <c r="B585" s="415" t="s">
        <v>85</v>
      </c>
      <c r="C585" s="416" t="s">
        <v>31</v>
      </c>
      <c r="D585" s="444">
        <v>0</v>
      </c>
      <c r="E585" s="415" t="s">
        <v>1716</v>
      </c>
      <c r="F585" s="444">
        <v>2</v>
      </c>
      <c r="G585" s="415" t="s">
        <v>1661</v>
      </c>
      <c r="H585" s="444">
        <v>40</v>
      </c>
      <c r="I585" s="417" t="s">
        <v>1632</v>
      </c>
      <c r="J585" s="444">
        <v>1</v>
      </c>
      <c r="K585" s="444">
        <v>580</v>
      </c>
      <c r="L585" s="444">
        <v>0</v>
      </c>
      <c r="M585" s="444">
        <v>101</v>
      </c>
      <c r="N585" s="444">
        <v>9</v>
      </c>
      <c r="O585" s="444">
        <v>0</v>
      </c>
      <c r="P585" s="444">
        <v>0</v>
      </c>
      <c r="Q585" s="444">
        <v>0</v>
      </c>
      <c r="R585" s="444">
        <v>0</v>
      </c>
      <c r="S585" s="444">
        <v>80</v>
      </c>
      <c r="T585" s="444">
        <v>61</v>
      </c>
      <c r="U585" s="444">
        <v>0</v>
      </c>
      <c r="V585" s="444">
        <v>53</v>
      </c>
      <c r="W585" s="444">
        <v>51</v>
      </c>
      <c r="X585" s="418"/>
      <c r="Y585" s="445"/>
      <c r="Z585" s="420"/>
      <c r="AA585" s="421">
        <v>73.775000000000006</v>
      </c>
      <c r="AB585" s="421">
        <v>33.195</v>
      </c>
      <c r="AC585" s="454">
        <v>0</v>
      </c>
      <c r="AE585" s="445" t="s">
        <v>2491</v>
      </c>
      <c r="AF585" s="454">
        <v>1</v>
      </c>
      <c r="AG585" s="441">
        <v>43101</v>
      </c>
      <c r="AJ585" s="442">
        <v>43361</v>
      </c>
      <c r="AL585" s="446" t="s">
        <v>931</v>
      </c>
      <c r="AO585" s="445"/>
      <c r="AP585" s="454">
        <v>556621</v>
      </c>
      <c r="AQ585" s="443">
        <v>43077</v>
      </c>
      <c r="AT585" s="447"/>
      <c r="AU585" s="447"/>
      <c r="AV585" s="447"/>
      <c r="AY585" s="427" t="s">
        <v>1717</v>
      </c>
      <c r="AZ585" s="373"/>
      <c r="BB585" s="374" t="s">
        <v>1727</v>
      </c>
      <c r="BC585" s="445"/>
      <c r="BE585" s="448">
        <v>5</v>
      </c>
      <c r="BF585" s="449">
        <v>40</v>
      </c>
      <c r="BG585" s="450" t="s">
        <v>1764</v>
      </c>
      <c r="BH585" s="445"/>
      <c r="BI585" s="491"/>
      <c r="BJ585" s="491">
        <v>3</v>
      </c>
      <c r="BK585" s="445" t="s">
        <v>2880</v>
      </c>
      <c r="BL585" s="445" t="s">
        <v>3344</v>
      </c>
      <c r="BM585" s="445"/>
      <c r="BN585" s="445" t="s">
        <v>1765</v>
      </c>
      <c r="BO585" s="445" t="s">
        <v>1765</v>
      </c>
      <c r="BP585" s="445" t="s">
        <v>1765</v>
      </c>
      <c r="BQ585" s="445" t="s">
        <v>31</v>
      </c>
      <c r="BR585" s="445"/>
      <c r="BS585" s="445"/>
      <c r="BT585" s="445"/>
      <c r="BU585" s="445"/>
      <c r="BV585" s="445"/>
      <c r="BW585" s="445" t="s">
        <v>2490</v>
      </c>
      <c r="BX585" s="445"/>
      <c r="BY585" s="445"/>
    </row>
    <row r="586" spans="1:77" ht="15">
      <c r="A586" s="370" t="s">
        <v>31</v>
      </c>
      <c r="B586" s="415" t="s">
        <v>132</v>
      </c>
      <c r="C586" s="416" t="s">
        <v>31</v>
      </c>
      <c r="D586" s="444">
        <v>0</v>
      </c>
      <c r="E586" s="415" t="s">
        <v>1716</v>
      </c>
      <c r="F586" s="444">
        <v>2</v>
      </c>
      <c r="G586" s="415" t="s">
        <v>1661</v>
      </c>
      <c r="H586" s="444">
        <v>27</v>
      </c>
      <c r="I586" s="417" t="s">
        <v>1686</v>
      </c>
      <c r="J586" s="444">
        <v>1</v>
      </c>
      <c r="K586" s="444">
        <v>1128</v>
      </c>
      <c r="L586" s="444">
        <v>0</v>
      </c>
      <c r="M586" s="444">
        <v>0</v>
      </c>
      <c r="N586" s="444">
        <v>235</v>
      </c>
      <c r="O586" s="444">
        <v>0</v>
      </c>
      <c r="P586" s="444">
        <v>0</v>
      </c>
      <c r="Q586" s="444">
        <v>26</v>
      </c>
      <c r="R586" s="444">
        <v>22</v>
      </c>
      <c r="S586" s="444">
        <v>3</v>
      </c>
      <c r="T586" s="444">
        <v>192</v>
      </c>
      <c r="U586" s="444">
        <v>8</v>
      </c>
      <c r="V586" s="444">
        <v>3</v>
      </c>
      <c r="W586" s="444">
        <v>131</v>
      </c>
      <c r="X586" s="418"/>
      <c r="Y586" s="445"/>
      <c r="Z586" s="420"/>
      <c r="AA586" s="421">
        <v>75.488</v>
      </c>
      <c r="AB586" s="421">
        <v>37.555</v>
      </c>
      <c r="AC586" s="454">
        <v>42</v>
      </c>
      <c r="AE586" s="445" t="s">
        <v>2492</v>
      </c>
      <c r="AF586" s="454">
        <v>1</v>
      </c>
      <c r="AG586" s="441">
        <v>43101</v>
      </c>
      <c r="AJ586" s="442">
        <v>43349</v>
      </c>
      <c r="AL586" s="446" t="s">
        <v>888</v>
      </c>
      <c r="AO586" s="445"/>
      <c r="AP586" s="454">
        <v>556617</v>
      </c>
      <c r="AQ586" s="443">
        <v>43077</v>
      </c>
      <c r="AT586" s="447"/>
      <c r="AU586" s="447"/>
      <c r="AV586" s="447"/>
      <c r="AY586" s="427" t="s">
        <v>1559</v>
      </c>
      <c r="AZ586" s="373"/>
      <c r="BB586" s="374" t="s">
        <v>2214</v>
      </c>
      <c r="BC586" s="445"/>
      <c r="BE586" s="448">
        <v>5</v>
      </c>
      <c r="BF586" s="449">
        <v>40</v>
      </c>
      <c r="BG586" s="450" t="s">
        <v>1764</v>
      </c>
      <c r="BH586" s="445"/>
      <c r="BI586" s="491"/>
      <c r="BJ586" s="491">
        <v>3</v>
      </c>
      <c r="BK586" s="445" t="s">
        <v>363</v>
      </c>
      <c r="BL586" s="445" t="s">
        <v>3345</v>
      </c>
      <c r="BM586" s="445"/>
      <c r="BN586" s="445" t="s">
        <v>1765</v>
      </c>
      <c r="BO586" s="445" t="s">
        <v>1765</v>
      </c>
      <c r="BP586" s="445" t="s">
        <v>1765</v>
      </c>
      <c r="BQ586" s="445" t="s">
        <v>31</v>
      </c>
      <c r="BR586" s="445"/>
      <c r="BS586" s="445"/>
      <c r="BT586" s="445"/>
      <c r="BU586" s="445"/>
      <c r="BV586" s="445"/>
      <c r="BW586" s="445" t="s">
        <v>2493</v>
      </c>
      <c r="BX586" s="445"/>
      <c r="BY586" s="445"/>
    </row>
    <row r="587" spans="1:77" ht="15">
      <c r="A587" s="370" t="s">
        <v>31</v>
      </c>
      <c r="B587" s="415" t="s">
        <v>296</v>
      </c>
      <c r="C587" s="416" t="s">
        <v>31</v>
      </c>
      <c r="D587" s="444">
        <v>0</v>
      </c>
      <c r="E587" s="415" t="s">
        <v>1716</v>
      </c>
      <c r="F587" s="444">
        <v>2</v>
      </c>
      <c r="G587" s="415" t="s">
        <v>1661</v>
      </c>
      <c r="H587" s="444">
        <v>29</v>
      </c>
      <c r="I587" s="417" t="s">
        <v>2494</v>
      </c>
      <c r="J587" s="444">
        <v>2.7</v>
      </c>
      <c r="K587" s="444">
        <v>548</v>
      </c>
      <c r="L587" s="444">
        <v>0</v>
      </c>
      <c r="M587" s="444">
        <v>0</v>
      </c>
      <c r="N587" s="444">
        <v>235</v>
      </c>
      <c r="O587" s="444">
        <v>0</v>
      </c>
      <c r="P587" s="444">
        <v>0</v>
      </c>
      <c r="Q587" s="444">
        <v>26</v>
      </c>
      <c r="R587" s="444">
        <v>22</v>
      </c>
      <c r="S587" s="444">
        <v>3</v>
      </c>
      <c r="T587" s="444">
        <v>192</v>
      </c>
      <c r="U587" s="444">
        <v>8</v>
      </c>
      <c r="V587" s="444">
        <v>3</v>
      </c>
      <c r="W587" s="444">
        <v>131</v>
      </c>
      <c r="X587" s="418"/>
      <c r="Y587" s="445"/>
      <c r="Z587" s="420"/>
      <c r="AA587" s="421">
        <v>66.218000000000004</v>
      </c>
      <c r="AB587" s="421">
        <v>26.41</v>
      </c>
      <c r="AC587" s="454">
        <v>49</v>
      </c>
      <c r="AE587" s="445" t="s">
        <v>2495</v>
      </c>
      <c r="AF587" s="454">
        <v>1</v>
      </c>
      <c r="AG587" s="441">
        <v>43101</v>
      </c>
      <c r="AJ587" s="442">
        <v>43374</v>
      </c>
      <c r="AL587" s="446" t="s">
        <v>2496</v>
      </c>
      <c r="AO587" s="445"/>
      <c r="AP587" s="454">
        <v>556622</v>
      </c>
      <c r="AQ587" s="443">
        <v>43077</v>
      </c>
      <c r="AT587" s="447"/>
      <c r="AU587" s="447"/>
      <c r="AV587" s="447"/>
      <c r="AY587" s="427" t="s">
        <v>1722</v>
      </c>
      <c r="AZ587" s="373"/>
      <c r="BB587" s="374" t="s">
        <v>1728</v>
      </c>
      <c r="BC587" s="445"/>
      <c r="BE587" s="448">
        <v>10</v>
      </c>
      <c r="BF587" s="449">
        <v>40</v>
      </c>
      <c r="BG587" s="450" t="s">
        <v>1764</v>
      </c>
      <c r="BH587" s="445"/>
      <c r="BI587" s="491"/>
      <c r="BJ587" s="491">
        <v>5</v>
      </c>
      <c r="BK587" s="445" t="s">
        <v>3346</v>
      </c>
      <c r="BL587" s="445" t="s">
        <v>3347</v>
      </c>
      <c r="BM587" s="445"/>
      <c r="BN587" s="445" t="s">
        <v>1765</v>
      </c>
      <c r="BO587" s="445" t="s">
        <v>1765</v>
      </c>
      <c r="BP587" s="445" t="s">
        <v>1765</v>
      </c>
      <c r="BQ587" s="445" t="s">
        <v>31</v>
      </c>
      <c r="BR587" s="445"/>
      <c r="BS587" s="445"/>
      <c r="BT587" s="445"/>
      <c r="BU587" s="445"/>
      <c r="BV587" s="445"/>
      <c r="BW587" s="445" t="s">
        <v>2493</v>
      </c>
      <c r="BX587" s="445"/>
      <c r="BY587" s="445"/>
    </row>
    <row r="588" spans="1:77" ht="15">
      <c r="A588" s="370" t="s">
        <v>1269</v>
      </c>
      <c r="B588" s="415" t="s">
        <v>296</v>
      </c>
      <c r="C588" s="416" t="s">
        <v>1682</v>
      </c>
      <c r="D588" s="444">
        <v>0</v>
      </c>
      <c r="E588" s="415" t="s">
        <v>1749</v>
      </c>
      <c r="F588" s="444">
        <v>3</v>
      </c>
      <c r="G588" s="415" t="s">
        <v>1750</v>
      </c>
      <c r="H588" s="444">
        <v>29</v>
      </c>
      <c r="I588" s="417" t="s">
        <v>1694</v>
      </c>
      <c r="J588" s="444">
        <v>3.3</v>
      </c>
      <c r="K588" s="444">
        <v>441</v>
      </c>
      <c r="L588" s="444"/>
      <c r="M588" s="444">
        <v>0</v>
      </c>
      <c r="N588" s="444">
        <v>4</v>
      </c>
      <c r="O588" s="444"/>
      <c r="P588" s="444"/>
      <c r="Q588" s="444"/>
      <c r="R588" s="444"/>
      <c r="S588" s="444">
        <v>0</v>
      </c>
      <c r="T588" s="444">
        <v>0</v>
      </c>
      <c r="U588" s="444">
        <v>41</v>
      </c>
      <c r="V588" s="444">
        <v>11</v>
      </c>
      <c r="W588" s="444">
        <v>59</v>
      </c>
      <c r="X588" s="418"/>
      <c r="Y588" s="445"/>
      <c r="Z588" s="420"/>
      <c r="AA588" s="421">
        <v>93.391999999999996</v>
      </c>
      <c r="AB588" s="421"/>
      <c r="AC588" s="454">
        <v>14</v>
      </c>
      <c r="AE588" s="445" t="s">
        <v>2497</v>
      </c>
      <c r="AF588" s="454">
        <v>1</v>
      </c>
      <c r="AG588" s="441">
        <v>43101</v>
      </c>
      <c r="AJ588" s="442">
        <v>43389</v>
      </c>
      <c r="AL588" s="446" t="s">
        <v>1026</v>
      </c>
      <c r="AO588" s="445"/>
      <c r="AP588" s="454">
        <v>556692</v>
      </c>
      <c r="AQ588" s="443">
        <v>43389</v>
      </c>
      <c r="AT588" s="447"/>
      <c r="AU588" s="447"/>
      <c r="AV588" s="447"/>
      <c r="AY588" s="427" t="s">
        <v>1722</v>
      </c>
      <c r="AZ588" s="373"/>
      <c r="BB588" s="374" t="s">
        <v>1728</v>
      </c>
      <c r="BC588" s="445"/>
      <c r="BE588" s="448"/>
      <c r="BF588" s="449"/>
      <c r="BG588" s="450"/>
      <c r="BH588" s="445"/>
      <c r="BI588" s="491"/>
      <c r="BJ588" s="491">
        <v>6</v>
      </c>
      <c r="BK588" s="445" t="s">
        <v>3348</v>
      </c>
      <c r="BL588" s="445" t="s">
        <v>3349</v>
      </c>
      <c r="BM588" s="445"/>
      <c r="BN588" s="445"/>
      <c r="BO588" s="445"/>
      <c r="BP588" s="445"/>
      <c r="BQ588" s="445" t="s">
        <v>1269</v>
      </c>
      <c r="BR588" s="445"/>
      <c r="BS588" s="445"/>
      <c r="BT588" s="445"/>
      <c r="BU588" s="445"/>
      <c r="BV588" s="445"/>
      <c r="BW588" s="445" t="s">
        <v>2493</v>
      </c>
      <c r="BX588" s="445"/>
      <c r="BY588" s="445"/>
    </row>
    <row r="589" spans="1:77" ht="15">
      <c r="A589" s="370" t="s">
        <v>1269</v>
      </c>
      <c r="B589" s="415" t="s">
        <v>296</v>
      </c>
      <c r="C589" s="416" t="s">
        <v>1682</v>
      </c>
      <c r="D589" s="444">
        <v>0</v>
      </c>
      <c r="E589" s="415" t="s">
        <v>1749</v>
      </c>
      <c r="F589" s="444">
        <v>3</v>
      </c>
      <c r="G589" s="415" t="s">
        <v>1750</v>
      </c>
      <c r="H589" s="444">
        <v>34</v>
      </c>
      <c r="I589" s="417" t="s">
        <v>1768</v>
      </c>
      <c r="J589" s="444">
        <v>11.2</v>
      </c>
      <c r="K589" s="444">
        <v>290</v>
      </c>
      <c r="L589" s="444"/>
      <c r="M589" s="444">
        <v>0</v>
      </c>
      <c r="N589" s="444">
        <v>5</v>
      </c>
      <c r="O589" s="444"/>
      <c r="P589" s="444"/>
      <c r="Q589" s="444"/>
      <c r="R589" s="444"/>
      <c r="S589" s="444">
        <v>0</v>
      </c>
      <c r="T589" s="444">
        <v>0</v>
      </c>
      <c r="U589" s="444">
        <v>14</v>
      </c>
      <c r="V589" s="444">
        <v>5</v>
      </c>
      <c r="W589" s="444">
        <v>277</v>
      </c>
      <c r="X589" s="418"/>
      <c r="Y589" s="445"/>
      <c r="Z589" s="420"/>
      <c r="AA589" s="421">
        <v>67.323999999999998</v>
      </c>
      <c r="AB589" s="421"/>
      <c r="AC589" s="454">
        <v>17</v>
      </c>
      <c r="AE589" s="445" t="s">
        <v>2498</v>
      </c>
      <c r="AF589" s="454">
        <v>1</v>
      </c>
      <c r="AG589" s="441">
        <v>43101</v>
      </c>
      <c r="AJ589" s="442">
        <v>43389</v>
      </c>
      <c r="AL589" s="446" t="s">
        <v>933</v>
      </c>
      <c r="AO589" s="445"/>
      <c r="AP589" s="454">
        <v>556692</v>
      </c>
      <c r="AQ589" s="443">
        <v>43389</v>
      </c>
      <c r="AT589" s="447"/>
      <c r="AU589" s="447"/>
      <c r="AV589" s="447"/>
      <c r="AY589" s="427" t="s">
        <v>1722</v>
      </c>
      <c r="AZ589" s="373"/>
      <c r="BB589" s="374" t="s">
        <v>1728</v>
      </c>
      <c r="BC589" s="445"/>
      <c r="BE589" s="448"/>
      <c r="BF589" s="449"/>
      <c r="BG589" s="450"/>
      <c r="BH589" s="445"/>
      <c r="BI589" s="491"/>
      <c r="BJ589" s="491">
        <v>7</v>
      </c>
      <c r="BK589" s="445" t="s">
        <v>2771</v>
      </c>
      <c r="BL589" s="445" t="s">
        <v>3350</v>
      </c>
      <c r="BM589" s="445"/>
      <c r="BN589" s="445"/>
      <c r="BO589" s="445"/>
      <c r="BP589" s="445"/>
      <c r="BQ589" s="445" t="s">
        <v>1269</v>
      </c>
      <c r="BR589" s="445"/>
      <c r="BS589" s="445"/>
      <c r="BT589" s="445"/>
      <c r="BU589" s="445"/>
      <c r="BV589" s="445"/>
      <c r="BW589" s="445" t="s">
        <v>2493</v>
      </c>
      <c r="BX589" s="445"/>
      <c r="BY589" s="445"/>
    </row>
    <row r="590" spans="1:77" ht="15">
      <c r="A590" s="370" t="s">
        <v>1269</v>
      </c>
      <c r="B590" s="415" t="s">
        <v>296</v>
      </c>
      <c r="C590" s="416" t="s">
        <v>1682</v>
      </c>
      <c r="D590" s="444">
        <v>0</v>
      </c>
      <c r="E590" s="415" t="s">
        <v>1749</v>
      </c>
      <c r="F590" s="444">
        <v>3</v>
      </c>
      <c r="G590" s="415" t="s">
        <v>1750</v>
      </c>
      <c r="H590" s="444">
        <v>124</v>
      </c>
      <c r="I590" s="417" t="s">
        <v>1427</v>
      </c>
      <c r="J590" s="444">
        <v>12</v>
      </c>
      <c r="K590" s="444">
        <v>957</v>
      </c>
      <c r="L590" s="444"/>
      <c r="M590" s="444">
        <v>0</v>
      </c>
      <c r="N590" s="444">
        <v>22</v>
      </c>
      <c r="O590" s="444"/>
      <c r="P590" s="444"/>
      <c r="Q590" s="444"/>
      <c r="R590" s="444"/>
      <c r="S590" s="444">
        <v>0</v>
      </c>
      <c r="T590" s="444">
        <v>0</v>
      </c>
      <c r="U590" s="444">
        <v>53</v>
      </c>
      <c r="V590" s="444">
        <v>3</v>
      </c>
      <c r="W590" s="444">
        <v>332</v>
      </c>
      <c r="X590" s="418"/>
      <c r="Y590" s="445"/>
      <c r="Z590" s="420"/>
      <c r="AA590" s="421">
        <v>79.239000000000004</v>
      </c>
      <c r="AB590" s="421"/>
      <c r="AC590" s="454">
        <v>36</v>
      </c>
      <c r="AE590" s="445" t="s">
        <v>2499</v>
      </c>
      <c r="AF590" s="454">
        <v>1</v>
      </c>
      <c r="AG590" s="441">
        <v>43101</v>
      </c>
      <c r="AJ590" s="442">
        <v>43389</v>
      </c>
      <c r="AL590" s="446" t="s">
        <v>933</v>
      </c>
      <c r="AO590" s="445"/>
      <c r="AP590" s="454">
        <v>556692</v>
      </c>
      <c r="AQ590" s="443">
        <v>43389</v>
      </c>
      <c r="AT590" s="447"/>
      <c r="AU590" s="447"/>
      <c r="AV590" s="447"/>
      <c r="AY590" s="427" t="s">
        <v>1722</v>
      </c>
      <c r="AZ590" s="373"/>
      <c r="BB590" s="374" t="s">
        <v>1728</v>
      </c>
      <c r="BC590" s="445"/>
      <c r="BE590" s="448"/>
      <c r="BF590" s="449"/>
      <c r="BG590" s="450"/>
      <c r="BH590" s="445"/>
      <c r="BI590" s="491"/>
      <c r="BJ590" s="491">
        <v>8</v>
      </c>
      <c r="BK590" s="445" t="s">
        <v>3351</v>
      </c>
      <c r="BL590" s="445" t="s">
        <v>3352</v>
      </c>
      <c r="BM590" s="445"/>
      <c r="BN590" s="445"/>
      <c r="BO590" s="445"/>
      <c r="BP590" s="445"/>
      <c r="BQ590" s="445" t="s">
        <v>1269</v>
      </c>
      <c r="BR590" s="445"/>
      <c r="BS590" s="445"/>
      <c r="BT590" s="445"/>
      <c r="BU590" s="445"/>
      <c r="BV590" s="445"/>
      <c r="BW590" s="445" t="s">
        <v>2493</v>
      </c>
      <c r="BX590" s="445"/>
      <c r="BY590" s="445"/>
    </row>
    <row r="591" spans="1:77" ht="15">
      <c r="A591" s="370" t="s">
        <v>1269</v>
      </c>
      <c r="B591" s="415" t="s">
        <v>19</v>
      </c>
      <c r="C591" s="416" t="s">
        <v>1682</v>
      </c>
      <c r="D591" s="444">
        <v>0</v>
      </c>
      <c r="E591" s="415" t="s">
        <v>1749</v>
      </c>
      <c r="F591" s="444">
        <v>3</v>
      </c>
      <c r="G591" s="415" t="s">
        <v>1750</v>
      </c>
      <c r="H591" s="444">
        <v>38</v>
      </c>
      <c r="I591" s="417" t="s">
        <v>1660</v>
      </c>
      <c r="J591" s="444">
        <v>2.2999999999999998</v>
      </c>
      <c r="K591" s="444">
        <v>77</v>
      </c>
      <c r="L591" s="444"/>
      <c r="M591" s="444">
        <v>0</v>
      </c>
      <c r="N591" s="444">
        <v>2</v>
      </c>
      <c r="O591" s="444"/>
      <c r="P591" s="444"/>
      <c r="Q591" s="444"/>
      <c r="R591" s="444"/>
      <c r="S591" s="444">
        <v>0</v>
      </c>
      <c r="T591" s="444">
        <v>0</v>
      </c>
      <c r="U591" s="444">
        <v>0</v>
      </c>
      <c r="V591" s="444">
        <v>0</v>
      </c>
      <c r="W591" s="444">
        <v>36</v>
      </c>
      <c r="X591" s="418"/>
      <c r="Y591" s="445"/>
      <c r="Z591" s="420"/>
      <c r="AA591" s="421">
        <v>83.066000000000003</v>
      </c>
      <c r="AB591" s="421"/>
      <c r="AC591" s="454">
        <v>6</v>
      </c>
      <c r="AE591" s="445" t="s">
        <v>2500</v>
      </c>
      <c r="AF591" s="454">
        <v>1</v>
      </c>
      <c r="AG591" s="441">
        <v>43101</v>
      </c>
      <c r="AJ591" s="442">
        <v>43378</v>
      </c>
      <c r="AL591" s="446" t="s">
        <v>1001</v>
      </c>
      <c r="AO591" s="445"/>
      <c r="AP591" s="454">
        <v>556690</v>
      </c>
      <c r="AQ591" s="443">
        <v>43378</v>
      </c>
      <c r="AT591" s="447"/>
      <c r="AU591" s="447"/>
      <c r="AV591" s="447"/>
      <c r="AY591" s="427" t="s">
        <v>1559</v>
      </c>
      <c r="AZ591" s="373"/>
      <c r="BB591" s="374" t="s">
        <v>2214</v>
      </c>
      <c r="BC591" s="445"/>
      <c r="BE591" s="448"/>
      <c r="BF591" s="449"/>
      <c r="BG591" s="450"/>
      <c r="BH591" s="445"/>
      <c r="BI591" s="491"/>
      <c r="BJ591" s="491">
        <v>1</v>
      </c>
      <c r="BK591" s="445" t="s">
        <v>1829</v>
      </c>
      <c r="BL591" s="445" t="s">
        <v>3353</v>
      </c>
      <c r="BM591" s="445"/>
      <c r="BN591" s="445"/>
      <c r="BO591" s="445"/>
      <c r="BP591" s="445"/>
      <c r="BQ591" s="445" t="s">
        <v>1269</v>
      </c>
      <c r="BR591" s="445"/>
      <c r="BS591" s="445"/>
      <c r="BT591" s="445"/>
      <c r="BU591" s="445"/>
      <c r="BV591" s="445"/>
      <c r="BW591" s="445" t="s">
        <v>2493</v>
      </c>
      <c r="BX591" s="445"/>
      <c r="BY591" s="445"/>
    </row>
    <row r="592" spans="1:77" ht="15">
      <c r="A592" s="370" t="s">
        <v>1269</v>
      </c>
      <c r="B592" s="415" t="s">
        <v>19</v>
      </c>
      <c r="C592" s="416" t="s">
        <v>1682</v>
      </c>
      <c r="D592" s="444">
        <v>0</v>
      </c>
      <c r="E592" s="415" t="s">
        <v>1749</v>
      </c>
      <c r="F592" s="444">
        <v>3</v>
      </c>
      <c r="G592" s="415" t="s">
        <v>1750</v>
      </c>
      <c r="H592" s="444">
        <v>125</v>
      </c>
      <c r="I592" s="417" t="s">
        <v>2501</v>
      </c>
      <c r="J592" s="444">
        <v>1.7</v>
      </c>
      <c r="K592" s="444">
        <v>245</v>
      </c>
      <c r="L592" s="444"/>
      <c r="M592" s="444">
        <v>0</v>
      </c>
      <c r="N592" s="444">
        <v>0</v>
      </c>
      <c r="O592" s="444"/>
      <c r="P592" s="444"/>
      <c r="Q592" s="444"/>
      <c r="R592" s="444"/>
      <c r="S592" s="444">
        <v>0</v>
      </c>
      <c r="T592" s="444">
        <v>0</v>
      </c>
      <c r="U592" s="444">
        <v>0</v>
      </c>
      <c r="V592" s="444">
        <v>0</v>
      </c>
      <c r="W592" s="444">
        <v>77</v>
      </c>
      <c r="X592" s="418"/>
      <c r="Y592" s="445"/>
      <c r="Z592" s="420"/>
      <c r="AA592" s="421">
        <v>87.906999999999996</v>
      </c>
      <c r="AB592" s="421"/>
      <c r="AC592" s="454">
        <v>12</v>
      </c>
      <c r="AE592" s="445" t="s">
        <v>2502</v>
      </c>
      <c r="AF592" s="454">
        <v>1</v>
      </c>
      <c r="AG592" s="441">
        <v>43101</v>
      </c>
      <c r="AJ592" s="442">
        <v>43378</v>
      </c>
      <c r="AL592" s="446" t="s">
        <v>1001</v>
      </c>
      <c r="AO592" s="445"/>
      <c r="AP592" s="454">
        <v>556690</v>
      </c>
      <c r="AQ592" s="443">
        <v>43378</v>
      </c>
      <c r="AT592" s="447"/>
      <c r="AU592" s="447"/>
      <c r="AV592" s="447"/>
      <c r="AY592" s="427" t="s">
        <v>1559</v>
      </c>
      <c r="AZ592" s="373"/>
      <c r="BB592" s="374" t="s">
        <v>2214</v>
      </c>
      <c r="BC592" s="445"/>
      <c r="BE592" s="448"/>
      <c r="BF592" s="449"/>
      <c r="BG592" s="450"/>
      <c r="BH592" s="445"/>
      <c r="BI592" s="491"/>
      <c r="BJ592" s="491">
        <v>2</v>
      </c>
      <c r="BK592" s="445" t="s">
        <v>3354</v>
      </c>
      <c r="BL592" s="445" t="s">
        <v>3355</v>
      </c>
      <c r="BM592" s="445"/>
      <c r="BN592" s="445"/>
      <c r="BO592" s="445"/>
      <c r="BP592" s="445"/>
      <c r="BQ592" s="445" t="s">
        <v>1269</v>
      </c>
      <c r="BR592" s="445"/>
      <c r="BS592" s="445"/>
      <c r="BT592" s="445"/>
      <c r="BU592" s="445"/>
      <c r="BV592" s="445"/>
      <c r="BW592" s="445" t="s">
        <v>2493</v>
      </c>
      <c r="BX592" s="445"/>
      <c r="BY592" s="445"/>
    </row>
    <row r="593" spans="1:77" ht="15">
      <c r="A593" s="370" t="s">
        <v>1269</v>
      </c>
      <c r="B593" s="415" t="s">
        <v>19</v>
      </c>
      <c r="C593" s="416" t="s">
        <v>1682</v>
      </c>
      <c r="D593" s="444">
        <v>0</v>
      </c>
      <c r="E593" s="415" t="s">
        <v>1749</v>
      </c>
      <c r="F593" s="444">
        <v>3</v>
      </c>
      <c r="G593" s="415" t="s">
        <v>1750</v>
      </c>
      <c r="H593" s="444">
        <v>125</v>
      </c>
      <c r="I593" s="417" t="s">
        <v>2501</v>
      </c>
      <c r="J593" s="444">
        <v>1.7</v>
      </c>
      <c r="K593" s="444">
        <v>245</v>
      </c>
      <c r="L593" s="444"/>
      <c r="M593" s="444">
        <v>0</v>
      </c>
      <c r="N593" s="444">
        <v>0</v>
      </c>
      <c r="O593" s="444"/>
      <c r="P593" s="444"/>
      <c r="Q593" s="444"/>
      <c r="R593" s="444"/>
      <c r="S593" s="444">
        <v>0</v>
      </c>
      <c r="T593" s="444">
        <v>0</v>
      </c>
      <c r="U593" s="444">
        <v>0</v>
      </c>
      <c r="V593" s="444">
        <v>0</v>
      </c>
      <c r="W593" s="444">
        <v>77</v>
      </c>
      <c r="X593" s="418"/>
      <c r="Y593" s="445"/>
      <c r="Z593" s="420"/>
      <c r="AA593" s="421">
        <v>87.906999999999996</v>
      </c>
      <c r="AB593" s="421"/>
      <c r="AC593" s="454">
        <v>12</v>
      </c>
      <c r="AE593" s="445" t="s">
        <v>2502</v>
      </c>
      <c r="AF593" s="454">
        <v>1</v>
      </c>
      <c r="AG593" s="441">
        <v>43101</v>
      </c>
      <c r="AJ593" s="442">
        <v>43378</v>
      </c>
      <c r="AL593" s="446" t="s">
        <v>1001</v>
      </c>
      <c r="AO593" s="445"/>
      <c r="AP593" s="454">
        <v>556690</v>
      </c>
      <c r="AQ593" s="443">
        <v>43378</v>
      </c>
      <c r="AT593" s="447"/>
      <c r="AU593" s="447"/>
      <c r="AV593" s="447"/>
      <c r="AY593" s="427" t="s">
        <v>1559</v>
      </c>
      <c r="AZ593" s="373"/>
      <c r="BB593" s="374" t="s">
        <v>2214</v>
      </c>
      <c r="BC593" s="445"/>
      <c r="BE593" s="448"/>
      <c r="BF593" s="449"/>
      <c r="BG593" s="450"/>
      <c r="BH593" s="445"/>
      <c r="BI593" s="491"/>
      <c r="BJ593" s="491">
        <v>2</v>
      </c>
      <c r="BK593" s="445" t="s">
        <v>3354</v>
      </c>
      <c r="BL593" s="445" t="s">
        <v>3355</v>
      </c>
      <c r="BM593" s="445"/>
      <c r="BN593" s="445"/>
      <c r="BO593" s="445"/>
      <c r="BP593" s="445"/>
      <c r="BQ593" s="445" t="s">
        <v>1269</v>
      </c>
      <c r="BR593" s="445"/>
      <c r="BS593" s="445"/>
      <c r="BT593" s="445"/>
      <c r="BU593" s="445"/>
      <c r="BV593" s="445"/>
      <c r="BW593" s="445" t="s">
        <v>2493</v>
      </c>
      <c r="BX593" s="445"/>
      <c r="BY593" s="445"/>
    </row>
    <row r="594" spans="1:77" ht="15">
      <c r="A594" s="370" t="s">
        <v>1783</v>
      </c>
      <c r="B594" s="415" t="s">
        <v>19</v>
      </c>
      <c r="C594" s="416" t="s">
        <v>1784</v>
      </c>
      <c r="D594" s="444">
        <v>0</v>
      </c>
      <c r="E594" s="415" t="s">
        <v>1749</v>
      </c>
      <c r="F594" s="444">
        <v>3</v>
      </c>
      <c r="G594" s="415" t="s">
        <v>1750</v>
      </c>
      <c r="H594" s="444">
        <v>128</v>
      </c>
      <c r="I594" s="417" t="s">
        <v>1685</v>
      </c>
      <c r="J594" s="444">
        <v>2</v>
      </c>
      <c r="K594" s="444">
        <v>0</v>
      </c>
      <c r="L594" s="444"/>
      <c r="M594" s="444">
        <v>0</v>
      </c>
      <c r="N594" s="444">
        <v>50</v>
      </c>
      <c r="O594" s="444"/>
      <c r="P594" s="444"/>
      <c r="Q594" s="444">
        <v>0</v>
      </c>
      <c r="R594" s="444"/>
      <c r="S594" s="444">
        <v>0</v>
      </c>
      <c r="T594" s="444">
        <v>0</v>
      </c>
      <c r="U594" s="444"/>
      <c r="V594" s="444">
        <v>0</v>
      </c>
      <c r="W594" s="444">
        <v>0</v>
      </c>
      <c r="X594" s="418"/>
      <c r="Y594" s="445"/>
      <c r="Z594" s="420"/>
      <c r="AA594" s="421">
        <v>261.66000000000003</v>
      </c>
      <c r="AB594" s="421"/>
      <c r="AC594" s="454">
        <v>23</v>
      </c>
      <c r="AE594" s="445" t="s">
        <v>2503</v>
      </c>
      <c r="AF594" s="454">
        <v>1</v>
      </c>
      <c r="AG594" s="441">
        <v>43101</v>
      </c>
      <c r="AJ594" s="442">
        <v>43374</v>
      </c>
      <c r="AL594" s="446" t="s">
        <v>917</v>
      </c>
      <c r="AO594" s="445"/>
      <c r="AP594" s="454">
        <v>556639</v>
      </c>
      <c r="AQ594" s="443">
        <v>43102</v>
      </c>
      <c r="AR594" s="370">
        <v>0.3</v>
      </c>
      <c r="AT594" s="447"/>
      <c r="AU594" s="447"/>
      <c r="AV594" s="447"/>
      <c r="AY594" s="427" t="s">
        <v>1559</v>
      </c>
      <c r="AZ594" s="373"/>
      <c r="BB594" s="374" t="s">
        <v>2214</v>
      </c>
      <c r="BC594" s="445"/>
      <c r="BE594" s="448"/>
      <c r="BF594" s="449"/>
      <c r="BG594" s="450"/>
      <c r="BH594" s="445"/>
      <c r="BI594" s="491"/>
      <c r="BJ594" s="491">
        <v>3</v>
      </c>
      <c r="BK594" s="445" t="s">
        <v>3356</v>
      </c>
      <c r="BL594" s="445" t="s">
        <v>3357</v>
      </c>
      <c r="BM594" s="445"/>
      <c r="BN594" s="445"/>
      <c r="BO594" s="445"/>
      <c r="BP594" s="445"/>
      <c r="BQ594" s="445" t="s">
        <v>1783</v>
      </c>
      <c r="BR594" s="445">
        <v>2</v>
      </c>
      <c r="BS594" s="445"/>
      <c r="BT594" s="445"/>
      <c r="BU594" s="445"/>
      <c r="BV594" s="445"/>
      <c r="BW594" s="445" t="s">
        <v>2493</v>
      </c>
      <c r="BX594" s="445"/>
      <c r="BY594" s="445"/>
    </row>
    <row r="595" spans="1:77" ht="15">
      <c r="A595" s="370" t="s">
        <v>1783</v>
      </c>
      <c r="B595" s="415" t="s">
        <v>19</v>
      </c>
      <c r="C595" s="416" t="s">
        <v>1784</v>
      </c>
      <c r="D595" s="444">
        <v>0</v>
      </c>
      <c r="E595" s="415" t="s">
        <v>1749</v>
      </c>
      <c r="F595" s="444">
        <v>3</v>
      </c>
      <c r="G595" s="415" t="s">
        <v>1750</v>
      </c>
      <c r="H595" s="444">
        <v>105</v>
      </c>
      <c r="I595" s="417" t="s">
        <v>1768</v>
      </c>
      <c r="J595" s="444">
        <v>2.9</v>
      </c>
      <c r="K595" s="444">
        <v>0</v>
      </c>
      <c r="L595" s="444"/>
      <c r="M595" s="444">
        <v>0</v>
      </c>
      <c r="N595" s="444">
        <v>330</v>
      </c>
      <c r="O595" s="444"/>
      <c r="P595" s="444"/>
      <c r="Q595" s="444">
        <v>0</v>
      </c>
      <c r="R595" s="444"/>
      <c r="S595" s="444">
        <v>0</v>
      </c>
      <c r="T595" s="444">
        <v>0</v>
      </c>
      <c r="U595" s="444"/>
      <c r="V595" s="444">
        <v>0</v>
      </c>
      <c r="W595" s="444">
        <v>0</v>
      </c>
      <c r="X595" s="418"/>
      <c r="Y595" s="445"/>
      <c r="Z595" s="420"/>
      <c r="AA595" s="421">
        <v>185.62</v>
      </c>
      <c r="AB595" s="421"/>
      <c r="AC595" s="454">
        <v>23</v>
      </c>
      <c r="AE595" s="445" t="s">
        <v>2504</v>
      </c>
      <c r="AF595" s="454">
        <v>1</v>
      </c>
      <c r="AG595" s="441">
        <v>43101</v>
      </c>
      <c r="AJ595" s="442">
        <v>43374</v>
      </c>
      <c r="AL595" s="446" t="s">
        <v>917</v>
      </c>
      <c r="AO595" s="445"/>
      <c r="AP595" s="454">
        <v>556639</v>
      </c>
      <c r="AQ595" s="443">
        <v>43102</v>
      </c>
      <c r="AR595" s="370">
        <v>0.3</v>
      </c>
      <c r="AT595" s="447"/>
      <c r="AU595" s="447"/>
      <c r="AV595" s="447"/>
      <c r="AY595" s="427" t="s">
        <v>1559</v>
      </c>
      <c r="AZ595" s="373"/>
      <c r="BB595" s="374" t="s">
        <v>2214</v>
      </c>
      <c r="BC595" s="445"/>
      <c r="BE595" s="448"/>
      <c r="BF595" s="449"/>
      <c r="BG595" s="450"/>
      <c r="BH595" s="445"/>
      <c r="BI595" s="491"/>
      <c r="BJ595" s="491">
        <v>4</v>
      </c>
      <c r="BK595" s="445" t="s">
        <v>3358</v>
      </c>
      <c r="BL595" s="445" t="s">
        <v>3359</v>
      </c>
      <c r="BM595" s="445"/>
      <c r="BN595" s="445"/>
      <c r="BO595" s="445"/>
      <c r="BP595" s="445"/>
      <c r="BQ595" s="445" t="s">
        <v>1783</v>
      </c>
      <c r="BR595" s="445">
        <v>2</v>
      </c>
      <c r="BS595" s="445"/>
      <c r="BT595" s="445"/>
      <c r="BU595" s="445"/>
      <c r="BV595" s="445"/>
      <c r="BW595" s="445" t="s">
        <v>2493</v>
      </c>
      <c r="BX595" s="445"/>
      <c r="BY595" s="445"/>
    </row>
    <row r="596" spans="1:77" ht="15">
      <c r="A596" s="370" t="s">
        <v>1783</v>
      </c>
      <c r="B596" s="415" t="s">
        <v>19</v>
      </c>
      <c r="C596" s="416" t="s">
        <v>1784</v>
      </c>
      <c r="D596" s="444">
        <v>0</v>
      </c>
      <c r="E596" s="415" t="s">
        <v>1749</v>
      </c>
      <c r="F596" s="444">
        <v>3</v>
      </c>
      <c r="G596" s="415" t="s">
        <v>1750</v>
      </c>
      <c r="H596" s="444">
        <v>108</v>
      </c>
      <c r="I596" s="417" t="s">
        <v>1428</v>
      </c>
      <c r="J596" s="444">
        <v>3.7</v>
      </c>
      <c r="K596" s="444">
        <v>0</v>
      </c>
      <c r="L596" s="444"/>
      <c r="M596" s="444">
        <v>0</v>
      </c>
      <c r="N596" s="444">
        <v>190</v>
      </c>
      <c r="O596" s="444"/>
      <c r="P596" s="444"/>
      <c r="Q596" s="444">
        <v>0</v>
      </c>
      <c r="R596" s="444"/>
      <c r="S596" s="444">
        <v>0</v>
      </c>
      <c r="T596" s="444">
        <v>0</v>
      </c>
      <c r="U596" s="444"/>
      <c r="V596" s="444">
        <v>0</v>
      </c>
      <c r="W596" s="444">
        <v>0</v>
      </c>
      <c r="X596" s="418"/>
      <c r="Y596" s="445"/>
      <c r="Z596" s="420"/>
      <c r="AA596" s="421">
        <v>229.36</v>
      </c>
      <c r="AB596" s="421"/>
      <c r="AC596" s="454">
        <v>23</v>
      </c>
      <c r="AE596" s="445" t="s">
        <v>2505</v>
      </c>
      <c r="AF596" s="454">
        <v>1</v>
      </c>
      <c r="AG596" s="441">
        <v>43101</v>
      </c>
      <c r="AJ596" s="442">
        <v>43374</v>
      </c>
      <c r="AL596" s="446" t="s">
        <v>917</v>
      </c>
      <c r="AO596" s="445"/>
      <c r="AP596" s="454">
        <v>556639</v>
      </c>
      <c r="AQ596" s="443">
        <v>43102</v>
      </c>
      <c r="AR596" s="370">
        <v>0.3</v>
      </c>
      <c r="AT596" s="447"/>
      <c r="AU596" s="447"/>
      <c r="AV596" s="447"/>
      <c r="AY596" s="427" t="s">
        <v>1559</v>
      </c>
      <c r="AZ596" s="373"/>
      <c r="BB596" s="374" t="s">
        <v>2214</v>
      </c>
      <c r="BC596" s="445"/>
      <c r="BE596" s="448"/>
      <c r="BF596" s="449"/>
      <c r="BG596" s="450"/>
      <c r="BH596" s="445"/>
      <c r="BI596" s="491"/>
      <c r="BJ596" s="491">
        <v>5</v>
      </c>
      <c r="BK596" s="445" t="s">
        <v>3360</v>
      </c>
      <c r="BL596" s="445" t="s">
        <v>3361</v>
      </c>
      <c r="BM596" s="445"/>
      <c r="BN596" s="445"/>
      <c r="BO596" s="445"/>
      <c r="BP596" s="445"/>
      <c r="BQ596" s="445" t="s">
        <v>1783</v>
      </c>
      <c r="BR596" s="445">
        <v>2</v>
      </c>
      <c r="BS596" s="445"/>
      <c r="BT596" s="445"/>
      <c r="BU596" s="445"/>
      <c r="BV596" s="445"/>
      <c r="BW596" s="445" t="s">
        <v>2493</v>
      </c>
      <c r="BX596" s="445"/>
      <c r="BY596" s="445"/>
    </row>
    <row r="597" spans="1:77" ht="15">
      <c r="A597" s="370" t="s">
        <v>1269</v>
      </c>
      <c r="B597" s="415" t="s">
        <v>216</v>
      </c>
      <c r="C597" s="416" t="s">
        <v>1767</v>
      </c>
      <c r="D597" s="444">
        <v>0</v>
      </c>
      <c r="E597" s="415" t="s">
        <v>1716</v>
      </c>
      <c r="F597" s="444">
        <v>3</v>
      </c>
      <c r="G597" s="415" t="s">
        <v>1661</v>
      </c>
      <c r="H597" s="444">
        <v>53</v>
      </c>
      <c r="I597" s="417" t="s">
        <v>2169</v>
      </c>
      <c r="J597" s="444">
        <v>1</v>
      </c>
      <c r="K597" s="444">
        <v>68</v>
      </c>
      <c r="L597" s="444">
        <v>0</v>
      </c>
      <c r="M597" s="444">
        <v>0</v>
      </c>
      <c r="N597" s="444">
        <v>1</v>
      </c>
      <c r="O597" s="444">
        <v>0</v>
      </c>
      <c r="P597" s="444">
        <v>0</v>
      </c>
      <c r="Q597" s="444">
        <v>0</v>
      </c>
      <c r="R597" s="444">
        <v>0</v>
      </c>
      <c r="S597" s="444">
        <v>0</v>
      </c>
      <c r="T597" s="444">
        <v>14</v>
      </c>
      <c r="U597" s="444">
        <v>0</v>
      </c>
      <c r="V597" s="444">
        <v>0</v>
      </c>
      <c r="W597" s="444">
        <v>0</v>
      </c>
      <c r="X597" s="418"/>
      <c r="Y597" s="445"/>
      <c r="Z597" s="420"/>
      <c r="AA597" s="421">
        <v>109.339</v>
      </c>
      <c r="AB597" s="421">
        <v>29.978000000000002</v>
      </c>
      <c r="AC597" s="454">
        <v>1</v>
      </c>
      <c r="AE597" s="445" t="s">
        <v>2506</v>
      </c>
      <c r="AF597" s="454">
        <v>1</v>
      </c>
      <c r="AG597" s="441">
        <v>43101</v>
      </c>
      <c r="AJ597" s="442">
        <v>43374</v>
      </c>
      <c r="AL597" s="446" t="s">
        <v>914</v>
      </c>
      <c r="AO597" s="445"/>
      <c r="AP597" s="454">
        <v>556702</v>
      </c>
      <c r="AQ597" s="443">
        <v>43234</v>
      </c>
      <c r="AT597" s="447"/>
      <c r="AU597" s="447"/>
      <c r="AV597" s="447"/>
      <c r="AY597" s="427" t="s">
        <v>1559</v>
      </c>
      <c r="AZ597" s="373"/>
      <c r="BB597" s="374" t="s">
        <v>2214</v>
      </c>
      <c r="BC597" s="445"/>
      <c r="BE597" s="448">
        <v>0</v>
      </c>
      <c r="BF597" s="449">
        <v>0</v>
      </c>
      <c r="BG597" s="450" t="s">
        <v>1764</v>
      </c>
      <c r="BH597" s="445"/>
      <c r="BI597" s="491"/>
      <c r="BJ597" s="491">
        <v>10</v>
      </c>
      <c r="BK597" s="445" t="s">
        <v>3006</v>
      </c>
      <c r="BL597" s="445" t="s">
        <v>3007</v>
      </c>
      <c r="BM597" s="445"/>
      <c r="BN597" s="445" t="s">
        <v>1765</v>
      </c>
      <c r="BO597" s="445" t="s">
        <v>1765</v>
      </c>
      <c r="BP597" s="445" t="s">
        <v>1765</v>
      </c>
      <c r="BQ597" s="445" t="s">
        <v>1269</v>
      </c>
      <c r="BR597" s="445"/>
      <c r="BS597" s="445"/>
      <c r="BT597" s="445"/>
      <c r="BU597" s="445"/>
      <c r="BV597" s="445"/>
      <c r="BW597" s="445" t="s">
        <v>2493</v>
      </c>
      <c r="BX597" s="445"/>
      <c r="BY597" s="445"/>
    </row>
    <row r="598" spans="1:77" ht="15">
      <c r="A598" s="370" t="s">
        <v>1269</v>
      </c>
      <c r="B598" s="415" t="s">
        <v>19</v>
      </c>
      <c r="C598" s="416" t="s">
        <v>1682</v>
      </c>
      <c r="D598" s="444">
        <v>0</v>
      </c>
      <c r="E598" s="415" t="s">
        <v>1716</v>
      </c>
      <c r="F598" s="444">
        <v>3</v>
      </c>
      <c r="G598" s="415" t="s">
        <v>1661</v>
      </c>
      <c r="H598" s="444">
        <v>70</v>
      </c>
      <c r="I598" s="417" t="s">
        <v>1683</v>
      </c>
      <c r="J598" s="444">
        <v>2.2000000000000002</v>
      </c>
      <c r="K598" s="444">
        <v>81</v>
      </c>
      <c r="L598" s="444">
        <v>0</v>
      </c>
      <c r="M598" s="444">
        <v>0</v>
      </c>
      <c r="N598" s="444">
        <v>0</v>
      </c>
      <c r="O598" s="444">
        <v>0</v>
      </c>
      <c r="P598" s="444">
        <v>0</v>
      </c>
      <c r="Q598" s="444">
        <v>0</v>
      </c>
      <c r="R598" s="444">
        <v>0</v>
      </c>
      <c r="S598" s="444">
        <v>0</v>
      </c>
      <c r="T598" s="444">
        <v>0</v>
      </c>
      <c r="U598" s="444">
        <v>0</v>
      </c>
      <c r="V598" s="444">
        <v>0</v>
      </c>
      <c r="W598" s="444">
        <v>33</v>
      </c>
      <c r="X598" s="418"/>
      <c r="Y598" s="445"/>
      <c r="Z598" s="420"/>
      <c r="AA598" s="421">
        <v>89.072999999999993</v>
      </c>
      <c r="AB598" s="421">
        <v>29.978000000000002</v>
      </c>
      <c r="AC598" s="454">
        <v>3</v>
      </c>
      <c r="AE598" s="445" t="s">
        <v>2507</v>
      </c>
      <c r="AF598" s="454">
        <v>1</v>
      </c>
      <c r="AG598" s="441">
        <v>43101</v>
      </c>
      <c r="AJ598" s="442">
        <v>43403</v>
      </c>
      <c r="AL598" s="446" t="s">
        <v>1037</v>
      </c>
      <c r="AO598" s="445"/>
      <c r="AP598" s="454">
        <v>556694</v>
      </c>
      <c r="AQ598" s="443">
        <v>43403</v>
      </c>
      <c r="AT598" s="447"/>
      <c r="AU598" s="447"/>
      <c r="AV598" s="447"/>
      <c r="AY598" s="427" t="s">
        <v>1559</v>
      </c>
      <c r="AZ598" s="373"/>
      <c r="BB598" s="374" t="s">
        <v>2214</v>
      </c>
      <c r="BC598" s="445"/>
      <c r="BE598" s="448">
        <v>0</v>
      </c>
      <c r="BF598" s="449">
        <v>0</v>
      </c>
      <c r="BG598" s="450" t="s">
        <v>1764</v>
      </c>
      <c r="BH598" s="445"/>
      <c r="BI598" s="491"/>
      <c r="BJ598" s="491">
        <v>12</v>
      </c>
      <c r="BK598" s="445" t="s">
        <v>59</v>
      </c>
      <c r="BL598" s="445" t="s">
        <v>3362</v>
      </c>
      <c r="BM598" s="445"/>
      <c r="BN598" s="445" t="s">
        <v>1765</v>
      </c>
      <c r="BO598" s="445" t="s">
        <v>1765</v>
      </c>
      <c r="BP598" s="445" t="s">
        <v>1765</v>
      </c>
      <c r="BQ598" s="445" t="s">
        <v>1269</v>
      </c>
      <c r="BR598" s="445"/>
      <c r="BS598" s="445"/>
      <c r="BT598" s="445"/>
      <c r="BU598" s="445"/>
      <c r="BV598" s="445"/>
      <c r="BW598" s="445" t="s">
        <v>2493</v>
      </c>
      <c r="BX598" s="445"/>
      <c r="BY598" s="445"/>
    </row>
    <row r="599" spans="1:77" ht="15">
      <c r="A599" s="370" t="s">
        <v>1269</v>
      </c>
      <c r="B599" s="415" t="s">
        <v>19</v>
      </c>
      <c r="C599" s="416" t="s">
        <v>1682</v>
      </c>
      <c r="D599" s="444">
        <v>0</v>
      </c>
      <c r="E599" s="415" t="s">
        <v>1716</v>
      </c>
      <c r="F599" s="444">
        <v>3</v>
      </c>
      <c r="G599" s="415" t="s">
        <v>1661</v>
      </c>
      <c r="H599" s="444">
        <v>93</v>
      </c>
      <c r="I599" s="417" t="s">
        <v>1664</v>
      </c>
      <c r="J599" s="444">
        <v>1.8</v>
      </c>
      <c r="K599" s="444">
        <v>86</v>
      </c>
      <c r="L599" s="444">
        <v>0</v>
      </c>
      <c r="M599" s="444">
        <v>0</v>
      </c>
      <c r="N599" s="444">
        <v>1</v>
      </c>
      <c r="O599" s="444">
        <v>0</v>
      </c>
      <c r="P599" s="444">
        <v>0</v>
      </c>
      <c r="Q599" s="444">
        <v>0</v>
      </c>
      <c r="R599" s="444">
        <v>0</v>
      </c>
      <c r="S599" s="444">
        <v>0</v>
      </c>
      <c r="T599" s="444">
        <v>0</v>
      </c>
      <c r="U599" s="444">
        <v>0</v>
      </c>
      <c r="V599" s="444">
        <v>0</v>
      </c>
      <c r="W599" s="444">
        <v>32</v>
      </c>
      <c r="X599" s="418"/>
      <c r="Y599" s="445"/>
      <c r="Z599" s="420"/>
      <c r="AA599" s="421">
        <v>88.046000000000006</v>
      </c>
      <c r="AB599" s="421">
        <v>29.978000000000002</v>
      </c>
      <c r="AC599" s="454">
        <v>3</v>
      </c>
      <c r="AE599" s="445" t="s">
        <v>2508</v>
      </c>
      <c r="AF599" s="454">
        <v>1</v>
      </c>
      <c r="AG599" s="441">
        <v>43101</v>
      </c>
      <c r="AJ599" s="442">
        <v>43403</v>
      </c>
      <c r="AL599" s="446" t="s">
        <v>912</v>
      </c>
      <c r="AO599" s="445"/>
      <c r="AP599" s="454">
        <v>556694</v>
      </c>
      <c r="AQ599" s="443">
        <v>43403</v>
      </c>
      <c r="AT599" s="447"/>
      <c r="AU599" s="447"/>
      <c r="AV599" s="447"/>
      <c r="AY599" s="427" t="s">
        <v>1559</v>
      </c>
      <c r="AZ599" s="373"/>
      <c r="BB599" s="374" t="s">
        <v>2214</v>
      </c>
      <c r="BC599" s="445"/>
      <c r="BE599" s="448">
        <v>0</v>
      </c>
      <c r="BF599" s="449">
        <v>0</v>
      </c>
      <c r="BG599" s="450" t="s">
        <v>1764</v>
      </c>
      <c r="BH599" s="445"/>
      <c r="BI599" s="491"/>
      <c r="BJ599" s="491">
        <v>13</v>
      </c>
      <c r="BK599" s="445" t="s">
        <v>61</v>
      </c>
      <c r="BL599" s="445" t="s">
        <v>3363</v>
      </c>
      <c r="BM599" s="445"/>
      <c r="BN599" s="445" t="s">
        <v>1765</v>
      </c>
      <c r="BO599" s="445" t="s">
        <v>1765</v>
      </c>
      <c r="BP599" s="445" t="s">
        <v>1765</v>
      </c>
      <c r="BQ599" s="445" t="s">
        <v>1269</v>
      </c>
      <c r="BR599" s="445"/>
      <c r="BS599" s="445"/>
      <c r="BT599" s="445"/>
      <c r="BU599" s="445"/>
      <c r="BV599" s="445"/>
      <c r="BW599" s="445" t="s">
        <v>2493</v>
      </c>
      <c r="BX599" s="445"/>
      <c r="BY599" s="445"/>
    </row>
    <row r="600" spans="1:77" ht="15">
      <c r="A600" s="370" t="s">
        <v>1269</v>
      </c>
      <c r="B600" s="415" t="s">
        <v>19</v>
      </c>
      <c r="C600" s="416" t="s">
        <v>1682</v>
      </c>
      <c r="D600" s="444">
        <v>0</v>
      </c>
      <c r="E600" s="415" t="s">
        <v>1716</v>
      </c>
      <c r="F600" s="444">
        <v>3</v>
      </c>
      <c r="G600" s="415" t="s">
        <v>1661</v>
      </c>
      <c r="H600" s="444">
        <v>41</v>
      </c>
      <c r="I600" s="417" t="s">
        <v>1632</v>
      </c>
      <c r="J600" s="444">
        <v>3.4</v>
      </c>
      <c r="K600" s="444">
        <v>413</v>
      </c>
      <c r="L600" s="444">
        <v>0</v>
      </c>
      <c r="M600" s="444">
        <v>0</v>
      </c>
      <c r="N600" s="444">
        <v>2</v>
      </c>
      <c r="O600" s="444">
        <v>0</v>
      </c>
      <c r="P600" s="444">
        <v>0</v>
      </c>
      <c r="Q600" s="444">
        <v>0</v>
      </c>
      <c r="R600" s="444">
        <v>0</v>
      </c>
      <c r="S600" s="444">
        <v>0</v>
      </c>
      <c r="T600" s="444">
        <v>0</v>
      </c>
      <c r="U600" s="444">
        <v>0</v>
      </c>
      <c r="V600" s="444">
        <v>0</v>
      </c>
      <c r="W600" s="444">
        <v>77</v>
      </c>
      <c r="X600" s="418"/>
      <c r="Y600" s="445"/>
      <c r="Z600" s="420"/>
      <c r="AA600" s="421">
        <v>107.10899999999999</v>
      </c>
      <c r="AB600" s="421">
        <v>29.978000000000002</v>
      </c>
      <c r="AC600" s="454">
        <v>11</v>
      </c>
      <c r="AE600" s="445" t="s">
        <v>2509</v>
      </c>
      <c r="AF600" s="454">
        <v>1</v>
      </c>
      <c r="AG600" s="441">
        <v>43101</v>
      </c>
      <c r="AJ600" s="442">
        <v>43403</v>
      </c>
      <c r="AL600" s="446" t="s">
        <v>1037</v>
      </c>
      <c r="AO600" s="445"/>
      <c r="AP600" s="454">
        <v>556694</v>
      </c>
      <c r="AQ600" s="443">
        <v>43403</v>
      </c>
      <c r="AT600" s="447"/>
      <c r="AU600" s="447"/>
      <c r="AV600" s="447"/>
      <c r="AY600" s="427" t="s">
        <v>1559</v>
      </c>
      <c r="AZ600" s="373"/>
      <c r="BB600" s="374" t="s">
        <v>2214</v>
      </c>
      <c r="BC600" s="445"/>
      <c r="BE600" s="448">
        <v>0</v>
      </c>
      <c r="BF600" s="449">
        <v>0</v>
      </c>
      <c r="BG600" s="450" t="s">
        <v>1764</v>
      </c>
      <c r="BH600" s="445"/>
      <c r="BI600" s="491"/>
      <c r="BJ600" s="491">
        <v>14</v>
      </c>
      <c r="BK600" s="445" t="s">
        <v>3364</v>
      </c>
      <c r="BL600" s="445" t="s">
        <v>3365</v>
      </c>
      <c r="BM600" s="445"/>
      <c r="BN600" s="445" t="s">
        <v>1765</v>
      </c>
      <c r="BO600" s="445" t="s">
        <v>1765</v>
      </c>
      <c r="BP600" s="445" t="s">
        <v>1765</v>
      </c>
      <c r="BQ600" s="445" t="s">
        <v>1269</v>
      </c>
      <c r="BR600" s="445"/>
      <c r="BS600" s="445"/>
      <c r="BT600" s="445"/>
      <c r="BU600" s="445"/>
      <c r="BV600" s="445"/>
      <c r="BW600" s="445" t="s">
        <v>2493</v>
      </c>
      <c r="BX600" s="445"/>
      <c r="BY600" s="445"/>
    </row>
    <row r="601" spans="1:77" ht="15">
      <c r="A601" s="370" t="s">
        <v>1269</v>
      </c>
      <c r="B601" s="415" t="s">
        <v>19</v>
      </c>
      <c r="C601" s="416" t="s">
        <v>1682</v>
      </c>
      <c r="D601" s="444">
        <v>0</v>
      </c>
      <c r="E601" s="415" t="s">
        <v>1716</v>
      </c>
      <c r="F601" s="444">
        <v>3</v>
      </c>
      <c r="G601" s="415" t="s">
        <v>1661</v>
      </c>
      <c r="H601" s="444">
        <v>86</v>
      </c>
      <c r="I601" s="417" t="s">
        <v>1683</v>
      </c>
      <c r="J601" s="444">
        <v>3.2</v>
      </c>
      <c r="K601" s="444">
        <v>79</v>
      </c>
      <c r="L601" s="444">
        <v>0</v>
      </c>
      <c r="M601" s="444">
        <v>0</v>
      </c>
      <c r="N601" s="444">
        <v>0</v>
      </c>
      <c r="O601" s="444">
        <v>0</v>
      </c>
      <c r="P601" s="444">
        <v>0</v>
      </c>
      <c r="Q601" s="444">
        <v>0</v>
      </c>
      <c r="R601" s="444">
        <v>0</v>
      </c>
      <c r="S601" s="444">
        <v>0</v>
      </c>
      <c r="T601" s="444">
        <v>0</v>
      </c>
      <c r="U601" s="444">
        <v>0</v>
      </c>
      <c r="V601" s="444">
        <v>0</v>
      </c>
      <c r="W601" s="444">
        <v>23</v>
      </c>
      <c r="X601" s="418"/>
      <c r="Y601" s="445"/>
      <c r="Z601" s="420"/>
      <c r="AA601" s="421">
        <v>111.72799999999999</v>
      </c>
      <c r="AB601" s="421">
        <v>29.978000000000002</v>
      </c>
      <c r="AC601" s="454">
        <v>5</v>
      </c>
      <c r="AE601" s="445" t="s">
        <v>2510</v>
      </c>
      <c r="AF601" s="454">
        <v>1</v>
      </c>
      <c r="AG601" s="441">
        <v>43101</v>
      </c>
      <c r="AJ601" s="442">
        <v>43403</v>
      </c>
      <c r="AL601" s="446" t="s">
        <v>912</v>
      </c>
      <c r="AO601" s="445"/>
      <c r="AP601" s="454">
        <v>556694</v>
      </c>
      <c r="AQ601" s="443">
        <v>43403</v>
      </c>
      <c r="AT601" s="447"/>
      <c r="AU601" s="447"/>
      <c r="AV601" s="447"/>
      <c r="AY601" s="427" t="s">
        <v>1559</v>
      </c>
      <c r="AZ601" s="373"/>
      <c r="BB601" s="374" t="s">
        <v>2214</v>
      </c>
      <c r="BC601" s="445"/>
      <c r="BE601" s="448">
        <v>0</v>
      </c>
      <c r="BF601" s="449">
        <v>0</v>
      </c>
      <c r="BG601" s="450" t="s">
        <v>1764</v>
      </c>
      <c r="BH601" s="445"/>
      <c r="BI601" s="491"/>
      <c r="BJ601" s="491">
        <v>15</v>
      </c>
      <c r="BK601" s="445" t="s">
        <v>163</v>
      </c>
      <c r="BL601" s="445" t="s">
        <v>3366</v>
      </c>
      <c r="BM601" s="445"/>
      <c r="BN601" s="445" t="s">
        <v>1765</v>
      </c>
      <c r="BO601" s="445" t="s">
        <v>1765</v>
      </c>
      <c r="BP601" s="445" t="s">
        <v>1765</v>
      </c>
      <c r="BQ601" s="445" t="s">
        <v>1269</v>
      </c>
      <c r="BR601" s="445"/>
      <c r="BS601" s="445"/>
      <c r="BT601" s="445"/>
      <c r="BU601" s="445"/>
      <c r="BV601" s="445"/>
      <c r="BW601" s="445" t="s">
        <v>2493</v>
      </c>
      <c r="BX601" s="445"/>
      <c r="BY601" s="445"/>
    </row>
    <row r="602" spans="1:77" ht="15">
      <c r="A602" s="370" t="s">
        <v>1269</v>
      </c>
      <c r="B602" s="415" t="s">
        <v>19</v>
      </c>
      <c r="C602" s="416" t="s">
        <v>1682</v>
      </c>
      <c r="D602" s="444">
        <v>0</v>
      </c>
      <c r="E602" s="415" t="s">
        <v>1716</v>
      </c>
      <c r="F602" s="444">
        <v>3</v>
      </c>
      <c r="G602" s="415" t="s">
        <v>1661</v>
      </c>
      <c r="H602" s="444">
        <v>83</v>
      </c>
      <c r="I602" s="417" t="s">
        <v>1683</v>
      </c>
      <c r="J602" s="444">
        <v>12.8</v>
      </c>
      <c r="K602" s="444">
        <v>515</v>
      </c>
      <c r="L602" s="444">
        <v>0</v>
      </c>
      <c r="M602" s="444">
        <v>0</v>
      </c>
      <c r="N602" s="444">
        <v>11</v>
      </c>
      <c r="O602" s="444">
        <v>0</v>
      </c>
      <c r="P602" s="444">
        <v>0</v>
      </c>
      <c r="Q602" s="444">
        <v>0</v>
      </c>
      <c r="R602" s="444">
        <v>0</v>
      </c>
      <c r="S602" s="444">
        <v>0</v>
      </c>
      <c r="T602" s="444">
        <v>0</v>
      </c>
      <c r="U602" s="444">
        <v>0</v>
      </c>
      <c r="V602" s="444">
        <v>0</v>
      </c>
      <c r="W602" s="444">
        <v>187</v>
      </c>
      <c r="X602" s="418"/>
      <c r="Y602" s="445"/>
      <c r="Z602" s="420"/>
      <c r="AA602" s="421">
        <v>87.191000000000003</v>
      </c>
      <c r="AB602" s="421">
        <v>29.978000000000002</v>
      </c>
      <c r="AC602" s="454">
        <v>21</v>
      </c>
      <c r="AE602" s="445" t="s">
        <v>2511</v>
      </c>
      <c r="AF602" s="454">
        <v>1</v>
      </c>
      <c r="AG602" s="441">
        <v>43101</v>
      </c>
      <c r="AJ602" s="442">
        <v>43403</v>
      </c>
      <c r="AL602" s="446" t="s">
        <v>1006</v>
      </c>
      <c r="AO602" s="445"/>
      <c r="AP602" s="454">
        <v>556694</v>
      </c>
      <c r="AQ602" s="443">
        <v>43403</v>
      </c>
      <c r="AT602" s="447"/>
      <c r="AU602" s="447"/>
      <c r="AV602" s="447"/>
      <c r="AY602" s="427" t="s">
        <v>1559</v>
      </c>
      <c r="AZ602" s="373"/>
      <c r="BB602" s="374" t="s">
        <v>2214</v>
      </c>
      <c r="BC602" s="445"/>
      <c r="BE602" s="448">
        <v>0</v>
      </c>
      <c r="BF602" s="449">
        <v>0</v>
      </c>
      <c r="BG602" s="450" t="s">
        <v>1764</v>
      </c>
      <c r="BH602" s="445"/>
      <c r="BI602" s="491"/>
      <c r="BJ602" s="491">
        <v>16</v>
      </c>
      <c r="BK602" s="445" t="s">
        <v>67</v>
      </c>
      <c r="BL602" s="445" t="s">
        <v>3367</v>
      </c>
      <c r="BM602" s="445"/>
      <c r="BN602" s="445" t="s">
        <v>1765</v>
      </c>
      <c r="BO602" s="445" t="s">
        <v>1765</v>
      </c>
      <c r="BP602" s="445" t="s">
        <v>1765</v>
      </c>
      <c r="BQ602" s="445" t="s">
        <v>1269</v>
      </c>
      <c r="BR602" s="445"/>
      <c r="BS602" s="445"/>
      <c r="BT602" s="445"/>
      <c r="BU602" s="445"/>
      <c r="BV602" s="445"/>
      <c r="BW602" s="445" t="s">
        <v>2493</v>
      </c>
      <c r="BX602" s="445"/>
      <c r="BY602" s="445"/>
    </row>
    <row r="603" spans="1:77" ht="15">
      <c r="A603" s="370" t="s">
        <v>1269</v>
      </c>
      <c r="B603" s="415" t="s">
        <v>19</v>
      </c>
      <c r="C603" s="416" t="s">
        <v>1682</v>
      </c>
      <c r="D603" s="444">
        <v>0</v>
      </c>
      <c r="E603" s="415" t="s">
        <v>1716</v>
      </c>
      <c r="F603" s="444">
        <v>3</v>
      </c>
      <c r="G603" s="415" t="s">
        <v>1661</v>
      </c>
      <c r="H603" s="444">
        <v>83</v>
      </c>
      <c r="I603" s="417" t="s">
        <v>1683</v>
      </c>
      <c r="J603" s="444">
        <v>12.8</v>
      </c>
      <c r="K603" s="444">
        <v>515</v>
      </c>
      <c r="L603" s="444">
        <v>0</v>
      </c>
      <c r="M603" s="444">
        <v>0</v>
      </c>
      <c r="N603" s="444">
        <v>11</v>
      </c>
      <c r="O603" s="444">
        <v>0</v>
      </c>
      <c r="P603" s="444">
        <v>0</v>
      </c>
      <c r="Q603" s="444">
        <v>0</v>
      </c>
      <c r="R603" s="444">
        <v>0</v>
      </c>
      <c r="S603" s="444">
        <v>0</v>
      </c>
      <c r="T603" s="444">
        <v>0</v>
      </c>
      <c r="U603" s="444">
        <v>0</v>
      </c>
      <c r="V603" s="444">
        <v>0</v>
      </c>
      <c r="W603" s="444">
        <v>187</v>
      </c>
      <c r="X603" s="418"/>
      <c r="Y603" s="445"/>
      <c r="Z603" s="420"/>
      <c r="AA603" s="421">
        <v>87.191000000000003</v>
      </c>
      <c r="AB603" s="421">
        <v>29.978000000000002</v>
      </c>
      <c r="AC603" s="454">
        <v>21</v>
      </c>
      <c r="AE603" s="445" t="s">
        <v>2511</v>
      </c>
      <c r="AF603" s="454">
        <v>1</v>
      </c>
      <c r="AG603" s="441">
        <v>43101</v>
      </c>
      <c r="AJ603" s="442">
        <v>43403</v>
      </c>
      <c r="AL603" s="446" t="s">
        <v>1006</v>
      </c>
      <c r="AO603" s="445"/>
      <c r="AP603" s="454">
        <v>556694</v>
      </c>
      <c r="AQ603" s="443">
        <v>43403</v>
      </c>
      <c r="AT603" s="447"/>
      <c r="AU603" s="447"/>
      <c r="AV603" s="447"/>
      <c r="AY603" s="427" t="s">
        <v>1559</v>
      </c>
      <c r="AZ603" s="373"/>
      <c r="BB603" s="374" t="s">
        <v>2214</v>
      </c>
      <c r="BC603" s="445"/>
      <c r="BE603" s="448">
        <v>0</v>
      </c>
      <c r="BF603" s="449">
        <v>0</v>
      </c>
      <c r="BG603" s="450" t="s">
        <v>1764</v>
      </c>
      <c r="BH603" s="445"/>
      <c r="BI603" s="491"/>
      <c r="BJ603" s="491">
        <v>16</v>
      </c>
      <c r="BK603" s="445" t="s">
        <v>67</v>
      </c>
      <c r="BL603" s="445" t="s">
        <v>3367</v>
      </c>
      <c r="BM603" s="445"/>
      <c r="BN603" s="445" t="s">
        <v>1765</v>
      </c>
      <c r="BO603" s="445" t="s">
        <v>1765</v>
      </c>
      <c r="BP603" s="445" t="s">
        <v>1765</v>
      </c>
      <c r="BQ603" s="445" t="s">
        <v>1269</v>
      </c>
      <c r="BR603" s="445"/>
      <c r="BS603" s="445"/>
      <c r="BT603" s="445"/>
      <c r="BU603" s="445"/>
      <c r="BV603" s="445"/>
      <c r="BW603" s="445" t="s">
        <v>2512</v>
      </c>
      <c r="BX603" s="445"/>
      <c r="BY603" s="445"/>
    </row>
    <row r="604" spans="1:77" ht="15">
      <c r="A604" s="370" t="s">
        <v>1269</v>
      </c>
      <c r="B604" s="415" t="s">
        <v>19</v>
      </c>
      <c r="C604" s="416" t="s">
        <v>1682</v>
      </c>
      <c r="D604" s="444">
        <v>0</v>
      </c>
      <c r="E604" s="415" t="s">
        <v>1716</v>
      </c>
      <c r="F604" s="444">
        <v>3</v>
      </c>
      <c r="G604" s="415" t="s">
        <v>1661</v>
      </c>
      <c r="H604" s="444">
        <v>83</v>
      </c>
      <c r="I604" s="417" t="s">
        <v>1683</v>
      </c>
      <c r="J604" s="444">
        <v>12.8</v>
      </c>
      <c r="K604" s="444">
        <v>515</v>
      </c>
      <c r="L604" s="444">
        <v>0</v>
      </c>
      <c r="M604" s="444">
        <v>0</v>
      </c>
      <c r="N604" s="444">
        <v>11</v>
      </c>
      <c r="O604" s="444">
        <v>0</v>
      </c>
      <c r="P604" s="444">
        <v>0</v>
      </c>
      <c r="Q604" s="444">
        <v>0</v>
      </c>
      <c r="R604" s="444">
        <v>0</v>
      </c>
      <c r="S604" s="444">
        <v>0</v>
      </c>
      <c r="T604" s="444">
        <v>0</v>
      </c>
      <c r="U604" s="444">
        <v>0</v>
      </c>
      <c r="V604" s="444">
        <v>0</v>
      </c>
      <c r="W604" s="444">
        <v>187</v>
      </c>
      <c r="X604" s="418"/>
      <c r="Y604" s="445"/>
      <c r="Z604" s="420"/>
      <c r="AA604" s="421">
        <v>87.191000000000003</v>
      </c>
      <c r="AB604" s="421">
        <v>29.978000000000002</v>
      </c>
      <c r="AC604" s="454">
        <v>21</v>
      </c>
      <c r="AE604" s="445" t="s">
        <v>2511</v>
      </c>
      <c r="AF604" s="454">
        <v>1</v>
      </c>
      <c r="AG604" s="441">
        <v>43101</v>
      </c>
      <c r="AJ604" s="442">
        <v>43403</v>
      </c>
      <c r="AL604" s="446" t="s">
        <v>1006</v>
      </c>
      <c r="AO604" s="445"/>
      <c r="AP604" s="454">
        <v>556694</v>
      </c>
      <c r="AQ604" s="443">
        <v>43403</v>
      </c>
      <c r="AT604" s="447"/>
      <c r="AU604" s="447"/>
      <c r="AV604" s="447"/>
      <c r="AY604" s="427" t="s">
        <v>1559</v>
      </c>
      <c r="AZ604" s="373"/>
      <c r="BB604" s="374" t="s">
        <v>2214</v>
      </c>
      <c r="BC604" s="445"/>
      <c r="BE604" s="448">
        <v>0</v>
      </c>
      <c r="BF604" s="449">
        <v>0</v>
      </c>
      <c r="BG604" s="450" t="s">
        <v>1764</v>
      </c>
      <c r="BH604" s="445"/>
      <c r="BI604" s="491"/>
      <c r="BJ604" s="491">
        <v>16</v>
      </c>
      <c r="BK604" s="445" t="s">
        <v>67</v>
      </c>
      <c r="BL604" s="445" t="s">
        <v>3367</v>
      </c>
      <c r="BM604" s="445"/>
      <c r="BN604" s="445" t="s">
        <v>1765</v>
      </c>
      <c r="BO604" s="445" t="s">
        <v>1765</v>
      </c>
      <c r="BP604" s="445" t="s">
        <v>1765</v>
      </c>
      <c r="BQ604" s="445" t="s">
        <v>1269</v>
      </c>
      <c r="BR604" s="445"/>
      <c r="BS604" s="445"/>
      <c r="BT604" s="445"/>
      <c r="BU604" s="445"/>
      <c r="BV604" s="445"/>
      <c r="BW604" s="445" t="s">
        <v>2512</v>
      </c>
      <c r="BX604" s="445"/>
      <c r="BY604" s="445"/>
    </row>
    <row r="605" spans="1:77" ht="15">
      <c r="A605" s="370" t="s">
        <v>31</v>
      </c>
      <c r="B605" s="415" t="s">
        <v>216</v>
      </c>
      <c r="C605" s="416" t="s">
        <v>31</v>
      </c>
      <c r="D605" s="444">
        <v>0</v>
      </c>
      <c r="E605" s="415" t="s">
        <v>1716</v>
      </c>
      <c r="F605" s="444">
        <v>3</v>
      </c>
      <c r="G605" s="415" t="s">
        <v>1661</v>
      </c>
      <c r="H605" s="444">
        <v>41</v>
      </c>
      <c r="I605" s="417" t="s">
        <v>1663</v>
      </c>
      <c r="J605" s="444">
        <v>0.7</v>
      </c>
      <c r="K605" s="444">
        <v>559</v>
      </c>
      <c r="L605" s="444">
        <v>0</v>
      </c>
      <c r="M605" s="444">
        <v>0</v>
      </c>
      <c r="N605" s="444">
        <v>102</v>
      </c>
      <c r="O605" s="444">
        <v>0</v>
      </c>
      <c r="P605" s="444">
        <v>0</v>
      </c>
      <c r="Q605" s="444">
        <v>0</v>
      </c>
      <c r="R605" s="444">
        <v>3</v>
      </c>
      <c r="S605" s="444">
        <v>0</v>
      </c>
      <c r="T605" s="444">
        <v>87</v>
      </c>
      <c r="U605" s="444">
        <v>1</v>
      </c>
      <c r="V605" s="444">
        <v>0</v>
      </c>
      <c r="W605" s="444">
        <v>59</v>
      </c>
      <c r="X605" s="418"/>
      <c r="Y605" s="445"/>
      <c r="Z605" s="420"/>
      <c r="AA605" s="421">
        <v>86.331999999999994</v>
      </c>
      <c r="AB605" s="421">
        <v>41.561999999999998</v>
      </c>
      <c r="AC605" s="454">
        <v>19</v>
      </c>
      <c r="AE605" s="445" t="s">
        <v>2513</v>
      </c>
      <c r="AF605" s="454">
        <v>1</v>
      </c>
      <c r="AG605" s="441">
        <v>43101</v>
      </c>
      <c r="AJ605" s="442">
        <v>43308</v>
      </c>
      <c r="AL605" s="446" t="s">
        <v>929</v>
      </c>
      <c r="AO605" s="445"/>
      <c r="AP605" s="454">
        <v>556618</v>
      </c>
      <c r="AQ605" s="443">
        <v>43077</v>
      </c>
      <c r="AT605" s="447"/>
      <c r="AU605" s="447"/>
      <c r="AV605" s="447"/>
      <c r="AY605" s="427" t="s">
        <v>1559</v>
      </c>
      <c r="AZ605" s="373"/>
      <c r="BB605" s="374" t="s">
        <v>2214</v>
      </c>
      <c r="BC605" s="445"/>
      <c r="BE605" s="448">
        <v>5</v>
      </c>
      <c r="BF605" s="449">
        <v>20</v>
      </c>
      <c r="BG605" s="450" t="s">
        <v>1764</v>
      </c>
      <c r="BH605" s="445"/>
      <c r="BI605" s="491"/>
      <c r="BJ605" s="491">
        <v>15</v>
      </c>
      <c r="BK605" s="445" t="s">
        <v>3368</v>
      </c>
      <c r="BL605" s="445" t="s">
        <v>3369</v>
      </c>
      <c r="BM605" s="445"/>
      <c r="BN605" s="445" t="s">
        <v>1765</v>
      </c>
      <c r="BO605" s="445" t="s">
        <v>1765</v>
      </c>
      <c r="BP605" s="445" t="s">
        <v>1765</v>
      </c>
      <c r="BQ605" s="445" t="s">
        <v>31</v>
      </c>
      <c r="BR605" s="445"/>
      <c r="BS605" s="445"/>
      <c r="BT605" s="445"/>
      <c r="BU605" s="445"/>
      <c r="BV605" s="445"/>
      <c r="BW605" s="445" t="s">
        <v>2512</v>
      </c>
      <c r="BX605" s="445"/>
      <c r="BY605" s="445"/>
    </row>
    <row r="606" spans="1:77" ht="15">
      <c r="A606" s="370" t="s">
        <v>1269</v>
      </c>
      <c r="B606" s="415" t="s">
        <v>216</v>
      </c>
      <c r="C606" s="416" t="s">
        <v>1767</v>
      </c>
      <c r="D606" s="444">
        <v>0</v>
      </c>
      <c r="E606" s="415" t="s">
        <v>1716</v>
      </c>
      <c r="F606" s="444">
        <v>3</v>
      </c>
      <c r="G606" s="415" t="s">
        <v>1661</v>
      </c>
      <c r="H606" s="444">
        <v>53</v>
      </c>
      <c r="I606" s="417" t="s">
        <v>1422</v>
      </c>
      <c r="J606" s="444">
        <v>1</v>
      </c>
      <c r="K606" s="444">
        <v>78</v>
      </c>
      <c r="L606" s="444">
        <v>0</v>
      </c>
      <c r="M606" s="444">
        <v>3</v>
      </c>
      <c r="N606" s="444">
        <v>0</v>
      </c>
      <c r="O606" s="444">
        <v>0</v>
      </c>
      <c r="P606" s="444">
        <v>0</v>
      </c>
      <c r="Q606" s="444">
        <v>0</v>
      </c>
      <c r="R606" s="444">
        <v>19</v>
      </c>
      <c r="S606" s="444">
        <v>1</v>
      </c>
      <c r="T606" s="444">
        <v>0</v>
      </c>
      <c r="U606" s="444">
        <v>0</v>
      </c>
      <c r="V606" s="444">
        <v>0</v>
      </c>
      <c r="W606" s="444">
        <v>0</v>
      </c>
      <c r="X606" s="418"/>
      <c r="Y606" s="445"/>
      <c r="Z606" s="420"/>
      <c r="AA606" s="421">
        <v>94.004999999999995</v>
      </c>
      <c r="AB606" s="421">
        <v>29.978000000000002</v>
      </c>
      <c r="AC606" s="454">
        <v>2</v>
      </c>
      <c r="AE606" s="445" t="s">
        <v>2514</v>
      </c>
      <c r="AF606" s="454">
        <v>1</v>
      </c>
      <c r="AG606" s="441">
        <v>43101</v>
      </c>
      <c r="AJ606" s="442">
        <v>43374</v>
      </c>
      <c r="AL606" s="446" t="s">
        <v>914</v>
      </c>
      <c r="AO606" s="445"/>
      <c r="AP606" s="454">
        <v>556702</v>
      </c>
      <c r="AQ606" s="443">
        <v>43234</v>
      </c>
      <c r="AT606" s="447"/>
      <c r="AU606" s="447"/>
      <c r="AV606" s="447"/>
      <c r="AY606" s="427" t="s">
        <v>1559</v>
      </c>
      <c r="AZ606" s="373"/>
      <c r="BB606" s="374" t="s">
        <v>2214</v>
      </c>
      <c r="BC606" s="445"/>
      <c r="BE606" s="448">
        <v>0</v>
      </c>
      <c r="BF606" s="449">
        <v>0</v>
      </c>
      <c r="BG606" s="450" t="s">
        <v>1764</v>
      </c>
      <c r="BH606" s="445"/>
      <c r="BI606" s="491"/>
      <c r="BJ606" s="491">
        <v>11</v>
      </c>
      <c r="BK606" s="445" t="s">
        <v>3008</v>
      </c>
      <c r="BL606" s="445" t="s">
        <v>3009</v>
      </c>
      <c r="BM606" s="445"/>
      <c r="BN606" s="445" t="s">
        <v>1765</v>
      </c>
      <c r="BO606" s="445" t="s">
        <v>1765</v>
      </c>
      <c r="BP606" s="445" t="s">
        <v>1765</v>
      </c>
      <c r="BQ606" s="445" t="s">
        <v>1269</v>
      </c>
      <c r="BR606" s="445"/>
      <c r="BS606" s="445"/>
      <c r="BT606" s="445"/>
      <c r="BU606" s="445"/>
      <c r="BV606" s="445"/>
      <c r="BW606" s="445" t="s">
        <v>2512</v>
      </c>
      <c r="BX606" s="445"/>
      <c r="BY606" s="445"/>
    </row>
    <row r="607" spans="1:77" ht="15">
      <c r="A607" s="370" t="s">
        <v>1269</v>
      </c>
      <c r="B607" s="415" t="s">
        <v>132</v>
      </c>
      <c r="C607" s="416" t="s">
        <v>1682</v>
      </c>
      <c r="D607" s="444">
        <v>0</v>
      </c>
      <c r="E607" s="415" t="s">
        <v>1716</v>
      </c>
      <c r="F607" s="444">
        <v>3</v>
      </c>
      <c r="G607" s="415" t="s">
        <v>1661</v>
      </c>
      <c r="H607" s="444">
        <v>23</v>
      </c>
      <c r="I607" s="417" t="s">
        <v>1686</v>
      </c>
      <c r="J607" s="444">
        <v>5.7</v>
      </c>
      <c r="K607" s="444">
        <v>167</v>
      </c>
      <c r="L607" s="444">
        <v>0</v>
      </c>
      <c r="M607" s="444">
        <v>0</v>
      </c>
      <c r="N607" s="444">
        <v>5</v>
      </c>
      <c r="O607" s="444">
        <v>0</v>
      </c>
      <c r="P607" s="444">
        <v>0</v>
      </c>
      <c r="Q607" s="444">
        <v>0</v>
      </c>
      <c r="R607" s="444">
        <v>0</v>
      </c>
      <c r="S607" s="444">
        <v>0</v>
      </c>
      <c r="T607" s="444">
        <v>0</v>
      </c>
      <c r="U607" s="444">
        <v>0</v>
      </c>
      <c r="V607" s="444">
        <v>0</v>
      </c>
      <c r="W607" s="444">
        <v>92</v>
      </c>
      <c r="X607" s="418"/>
      <c r="Y607" s="445"/>
      <c r="Z607" s="420"/>
      <c r="AA607" s="421">
        <v>79.316999999999993</v>
      </c>
      <c r="AB607" s="421">
        <v>29.978000000000002</v>
      </c>
      <c r="AC607" s="454">
        <v>6</v>
      </c>
      <c r="AE607" s="445" t="s">
        <v>2515</v>
      </c>
      <c r="AF607" s="454">
        <v>1</v>
      </c>
      <c r="AG607" s="441">
        <v>43101</v>
      </c>
      <c r="AJ607" s="442">
        <v>43405</v>
      </c>
      <c r="AL607" s="446" t="s">
        <v>911</v>
      </c>
      <c r="AO607" s="445"/>
      <c r="AP607" s="454">
        <v>556693</v>
      </c>
      <c r="AQ607" s="443">
        <v>43397</v>
      </c>
      <c r="AT607" s="447"/>
      <c r="AU607" s="447"/>
      <c r="AV607" s="447"/>
      <c r="AY607" s="427" t="s">
        <v>1559</v>
      </c>
      <c r="AZ607" s="373"/>
      <c r="BB607" s="374" t="s">
        <v>2214</v>
      </c>
      <c r="BC607" s="445"/>
      <c r="BE607" s="448">
        <v>0</v>
      </c>
      <c r="BF607" s="449">
        <v>0</v>
      </c>
      <c r="BG607" s="450" t="s">
        <v>1764</v>
      </c>
      <c r="BH607" s="445"/>
      <c r="BI607" s="491"/>
      <c r="BJ607" s="491">
        <v>4</v>
      </c>
      <c r="BK607" s="445" t="s">
        <v>3370</v>
      </c>
      <c r="BL607" s="445" t="s">
        <v>3371</v>
      </c>
      <c r="BM607" s="445"/>
      <c r="BN607" s="445" t="s">
        <v>1765</v>
      </c>
      <c r="BO607" s="445" t="s">
        <v>1765</v>
      </c>
      <c r="BP607" s="445" t="s">
        <v>1765</v>
      </c>
      <c r="BQ607" s="445" t="s">
        <v>1269</v>
      </c>
      <c r="BR607" s="445"/>
      <c r="BS607" s="445"/>
      <c r="BT607" s="445"/>
      <c r="BU607" s="445"/>
      <c r="BV607" s="445"/>
      <c r="BW607" s="445" t="s">
        <v>2512</v>
      </c>
      <c r="BX607" s="445"/>
      <c r="BY607" s="445"/>
    </row>
    <row r="608" spans="1:77" ht="15">
      <c r="A608" s="370" t="s">
        <v>1269</v>
      </c>
      <c r="B608" s="415" t="s">
        <v>132</v>
      </c>
      <c r="C608" s="416" t="s">
        <v>1682</v>
      </c>
      <c r="D608" s="444">
        <v>0</v>
      </c>
      <c r="E608" s="415" t="s">
        <v>1716</v>
      </c>
      <c r="F608" s="444">
        <v>3</v>
      </c>
      <c r="G608" s="415" t="s">
        <v>1661</v>
      </c>
      <c r="H608" s="444">
        <v>97</v>
      </c>
      <c r="I608" s="417" t="s">
        <v>1770</v>
      </c>
      <c r="J608" s="444">
        <v>3.7</v>
      </c>
      <c r="K608" s="444">
        <v>27</v>
      </c>
      <c r="L608" s="444">
        <v>0</v>
      </c>
      <c r="M608" s="444">
        <v>0</v>
      </c>
      <c r="N608" s="444">
        <v>0</v>
      </c>
      <c r="O608" s="444">
        <v>0</v>
      </c>
      <c r="P608" s="444">
        <v>0</v>
      </c>
      <c r="Q608" s="444">
        <v>0</v>
      </c>
      <c r="R608" s="444">
        <v>0</v>
      </c>
      <c r="S608" s="444">
        <v>0</v>
      </c>
      <c r="T608" s="444">
        <v>0</v>
      </c>
      <c r="U608" s="444">
        <v>0</v>
      </c>
      <c r="V608" s="444">
        <v>0</v>
      </c>
      <c r="W608" s="444">
        <v>13</v>
      </c>
      <c r="X608" s="418"/>
      <c r="Y608" s="445"/>
      <c r="Z608" s="420"/>
      <c r="AA608" s="421">
        <v>95.43</v>
      </c>
      <c r="AB608" s="421">
        <v>29.978000000000002</v>
      </c>
      <c r="AC608" s="454">
        <v>1</v>
      </c>
      <c r="AE608" s="445" t="s">
        <v>2516</v>
      </c>
      <c r="AF608" s="454">
        <v>1</v>
      </c>
      <c r="AG608" s="441">
        <v>43101</v>
      </c>
      <c r="AJ608" s="442">
        <v>43405</v>
      </c>
      <c r="AL608" s="446" t="s">
        <v>911</v>
      </c>
      <c r="AO608" s="445"/>
      <c r="AP608" s="454">
        <v>556693</v>
      </c>
      <c r="AQ608" s="443">
        <v>43397</v>
      </c>
      <c r="AT608" s="447"/>
      <c r="AU608" s="447"/>
      <c r="AV608" s="447"/>
      <c r="AY608" s="427" t="s">
        <v>1559</v>
      </c>
      <c r="AZ608" s="373"/>
      <c r="BB608" s="374" t="s">
        <v>2214</v>
      </c>
      <c r="BC608" s="445"/>
      <c r="BE608" s="448">
        <v>0</v>
      </c>
      <c r="BF608" s="449">
        <v>0</v>
      </c>
      <c r="BG608" s="450" t="s">
        <v>1764</v>
      </c>
      <c r="BH608" s="445"/>
      <c r="BI608" s="491"/>
      <c r="BJ608" s="491">
        <v>3</v>
      </c>
      <c r="BK608" s="445" t="s">
        <v>3372</v>
      </c>
      <c r="BL608" s="445" t="s">
        <v>3373</v>
      </c>
      <c r="BM608" s="445"/>
      <c r="BN608" s="445" t="s">
        <v>1765</v>
      </c>
      <c r="BO608" s="445" t="s">
        <v>1765</v>
      </c>
      <c r="BP608" s="445" t="s">
        <v>1765</v>
      </c>
      <c r="BQ608" s="445" t="s">
        <v>1269</v>
      </c>
      <c r="BR608" s="445"/>
      <c r="BS608" s="445"/>
      <c r="BT608" s="445"/>
      <c r="BU608" s="445"/>
      <c r="BV608" s="445"/>
      <c r="BW608" s="445" t="s">
        <v>2512</v>
      </c>
      <c r="BX608" s="445"/>
      <c r="BY608" s="445"/>
    </row>
    <row r="609" spans="1:77" ht="15">
      <c r="A609" s="370" t="s">
        <v>1269</v>
      </c>
      <c r="B609" s="415" t="s">
        <v>132</v>
      </c>
      <c r="C609" s="416" t="s">
        <v>1682</v>
      </c>
      <c r="D609" s="444">
        <v>0</v>
      </c>
      <c r="E609" s="415" t="s">
        <v>1716</v>
      </c>
      <c r="F609" s="444">
        <v>3</v>
      </c>
      <c r="G609" s="415" t="s">
        <v>1661</v>
      </c>
      <c r="H609" s="444">
        <v>93</v>
      </c>
      <c r="I609" s="417" t="s">
        <v>1632</v>
      </c>
      <c r="J609" s="444">
        <v>2.5</v>
      </c>
      <c r="K609" s="444">
        <v>155</v>
      </c>
      <c r="L609" s="444">
        <v>0</v>
      </c>
      <c r="M609" s="444">
        <v>0</v>
      </c>
      <c r="N609" s="444">
        <v>0</v>
      </c>
      <c r="O609" s="444">
        <v>0</v>
      </c>
      <c r="P609" s="444">
        <v>0</v>
      </c>
      <c r="Q609" s="444">
        <v>0</v>
      </c>
      <c r="R609" s="444">
        <v>0</v>
      </c>
      <c r="S609" s="444">
        <v>0</v>
      </c>
      <c r="T609" s="444">
        <v>0</v>
      </c>
      <c r="U609" s="444">
        <v>0</v>
      </c>
      <c r="V609" s="444">
        <v>0</v>
      </c>
      <c r="W609" s="444">
        <v>39</v>
      </c>
      <c r="X609" s="418"/>
      <c r="Y609" s="445"/>
      <c r="Z609" s="420"/>
      <c r="AA609" s="421">
        <v>103.65600000000001</v>
      </c>
      <c r="AB609" s="421">
        <v>29.978000000000002</v>
      </c>
      <c r="AC609" s="454">
        <v>5</v>
      </c>
      <c r="AE609" s="445" t="s">
        <v>2517</v>
      </c>
      <c r="AF609" s="454">
        <v>1</v>
      </c>
      <c r="AG609" s="441">
        <v>43101</v>
      </c>
      <c r="AJ609" s="442">
        <v>43374</v>
      </c>
      <c r="AL609" s="446" t="s">
        <v>919</v>
      </c>
      <c r="AO609" s="445"/>
      <c r="AP609" s="454">
        <v>556693</v>
      </c>
      <c r="AQ609" s="443">
        <v>43397</v>
      </c>
      <c r="AT609" s="447"/>
      <c r="AU609" s="447"/>
      <c r="AV609" s="447"/>
      <c r="AY609" s="427" t="s">
        <v>1559</v>
      </c>
      <c r="AZ609" s="373"/>
      <c r="BB609" s="374" t="s">
        <v>2214</v>
      </c>
      <c r="BC609" s="445"/>
      <c r="BE609" s="448">
        <v>0</v>
      </c>
      <c r="BF609" s="449">
        <v>0</v>
      </c>
      <c r="BG609" s="450" t="s">
        <v>1764</v>
      </c>
      <c r="BH609" s="445"/>
      <c r="BI609" s="491"/>
      <c r="BJ609" s="491">
        <v>1</v>
      </c>
      <c r="BK609" s="445" t="s">
        <v>153</v>
      </c>
      <c r="BL609" s="445" t="s">
        <v>3374</v>
      </c>
      <c r="BM609" s="445"/>
      <c r="BN609" s="445" t="s">
        <v>1765</v>
      </c>
      <c r="BO609" s="445" t="s">
        <v>1765</v>
      </c>
      <c r="BP609" s="445" t="s">
        <v>1765</v>
      </c>
      <c r="BQ609" s="445" t="s">
        <v>1269</v>
      </c>
      <c r="BR609" s="445"/>
      <c r="BS609" s="445"/>
      <c r="BT609" s="445"/>
      <c r="BU609" s="445"/>
      <c r="BV609" s="445"/>
      <c r="BW609" s="445" t="s">
        <v>2512</v>
      </c>
      <c r="BX609" s="445"/>
      <c r="BY609" s="445"/>
    </row>
    <row r="610" spans="1:77" ht="15">
      <c r="A610" s="370" t="s">
        <v>1269</v>
      </c>
      <c r="B610" s="415" t="s">
        <v>132</v>
      </c>
      <c r="C610" s="416" t="s">
        <v>1682</v>
      </c>
      <c r="D610" s="444">
        <v>0</v>
      </c>
      <c r="E610" s="415" t="s">
        <v>1716</v>
      </c>
      <c r="F610" s="444">
        <v>3</v>
      </c>
      <c r="G610" s="415" t="s">
        <v>1661</v>
      </c>
      <c r="H610" s="444">
        <v>93</v>
      </c>
      <c r="I610" s="417" t="s">
        <v>1688</v>
      </c>
      <c r="J610" s="444">
        <v>2.8</v>
      </c>
      <c r="K610" s="444">
        <v>192</v>
      </c>
      <c r="L610" s="444">
        <v>0</v>
      </c>
      <c r="M610" s="444">
        <v>0</v>
      </c>
      <c r="N610" s="444">
        <v>0</v>
      </c>
      <c r="O610" s="444">
        <v>0</v>
      </c>
      <c r="P610" s="444">
        <v>0</v>
      </c>
      <c r="Q610" s="444">
        <v>0</v>
      </c>
      <c r="R610" s="444">
        <v>0</v>
      </c>
      <c r="S610" s="444">
        <v>0</v>
      </c>
      <c r="T610" s="444">
        <v>0</v>
      </c>
      <c r="U610" s="444">
        <v>0</v>
      </c>
      <c r="V610" s="444">
        <v>42</v>
      </c>
      <c r="W610" s="444">
        <v>0</v>
      </c>
      <c r="X610" s="418"/>
      <c r="Y610" s="445"/>
      <c r="Z610" s="420"/>
      <c r="AA610" s="421">
        <v>97.43</v>
      </c>
      <c r="AB610" s="421">
        <v>29.978000000000002</v>
      </c>
      <c r="AC610" s="454">
        <v>7</v>
      </c>
      <c r="AE610" s="445" t="s">
        <v>2518</v>
      </c>
      <c r="AF610" s="454">
        <v>1</v>
      </c>
      <c r="AG610" s="441">
        <v>43101</v>
      </c>
      <c r="AJ610" s="442">
        <v>43374</v>
      </c>
      <c r="AL610" s="446" t="s">
        <v>919</v>
      </c>
      <c r="AO610" s="445"/>
      <c r="AP610" s="454">
        <v>556693</v>
      </c>
      <c r="AQ610" s="443">
        <v>43397</v>
      </c>
      <c r="AT610" s="447"/>
      <c r="AU610" s="447"/>
      <c r="AV610" s="447"/>
      <c r="AY610" s="427" t="s">
        <v>1559</v>
      </c>
      <c r="AZ610" s="373"/>
      <c r="BB610" s="374" t="s">
        <v>2214</v>
      </c>
      <c r="BC610" s="445"/>
      <c r="BE610" s="448">
        <v>0</v>
      </c>
      <c r="BF610" s="449">
        <v>0</v>
      </c>
      <c r="BG610" s="450" t="s">
        <v>1764</v>
      </c>
      <c r="BH610" s="445"/>
      <c r="BI610" s="491"/>
      <c r="BJ610" s="491">
        <v>2</v>
      </c>
      <c r="BK610" s="445" t="s">
        <v>3375</v>
      </c>
      <c r="BL610" s="445" t="s">
        <v>3376</v>
      </c>
      <c r="BM610" s="445"/>
      <c r="BN610" s="445" t="s">
        <v>1765</v>
      </c>
      <c r="BO610" s="445" t="s">
        <v>1765</v>
      </c>
      <c r="BP610" s="445" t="s">
        <v>1765</v>
      </c>
      <c r="BQ610" s="445" t="s">
        <v>1269</v>
      </c>
      <c r="BR610" s="445"/>
      <c r="BS610" s="445"/>
      <c r="BT610" s="445"/>
      <c r="BU610" s="445"/>
      <c r="BV610" s="445"/>
      <c r="BW610" s="445" t="s">
        <v>2512</v>
      </c>
      <c r="BX610" s="445"/>
      <c r="BY610" s="445"/>
    </row>
    <row r="611" spans="1:77" ht="15">
      <c r="A611" s="370" t="s">
        <v>1269</v>
      </c>
      <c r="B611" s="415" t="s">
        <v>132</v>
      </c>
      <c r="C611" s="416" t="s">
        <v>1682</v>
      </c>
      <c r="D611" s="444">
        <v>0</v>
      </c>
      <c r="E611" s="415" t="s">
        <v>1716</v>
      </c>
      <c r="F611" s="444">
        <v>3</v>
      </c>
      <c r="G611" s="415" t="s">
        <v>1661</v>
      </c>
      <c r="H611" s="444">
        <v>97</v>
      </c>
      <c r="I611" s="417" t="s">
        <v>1429</v>
      </c>
      <c r="J611" s="444">
        <v>2</v>
      </c>
      <c r="K611" s="444">
        <v>35</v>
      </c>
      <c r="L611" s="444">
        <v>0</v>
      </c>
      <c r="M611" s="444">
        <v>0</v>
      </c>
      <c r="N611" s="444">
        <v>1</v>
      </c>
      <c r="O611" s="444">
        <v>0</v>
      </c>
      <c r="P611" s="444">
        <v>0</v>
      </c>
      <c r="Q611" s="444">
        <v>0</v>
      </c>
      <c r="R611" s="444">
        <v>0</v>
      </c>
      <c r="S611" s="444">
        <v>0</v>
      </c>
      <c r="T611" s="444">
        <v>0</v>
      </c>
      <c r="U611" s="444">
        <v>0</v>
      </c>
      <c r="V611" s="444">
        <v>0</v>
      </c>
      <c r="W611" s="444">
        <v>18</v>
      </c>
      <c r="X611" s="418"/>
      <c r="Y611" s="445"/>
      <c r="Z611" s="420"/>
      <c r="AA611" s="421">
        <v>83.921999999999997</v>
      </c>
      <c r="AB611" s="421">
        <v>29.978000000000002</v>
      </c>
      <c r="AC611" s="454">
        <v>2</v>
      </c>
      <c r="AE611" s="445" t="s">
        <v>2519</v>
      </c>
      <c r="AF611" s="454">
        <v>1</v>
      </c>
      <c r="AG611" s="441">
        <v>43101</v>
      </c>
      <c r="AJ611" s="442">
        <v>43405</v>
      </c>
      <c r="AL611" s="446" t="s">
        <v>911</v>
      </c>
      <c r="AO611" s="445"/>
      <c r="AP611" s="454">
        <v>556693</v>
      </c>
      <c r="AQ611" s="443">
        <v>43397</v>
      </c>
      <c r="AT611" s="447"/>
      <c r="AU611" s="447"/>
      <c r="AV611" s="447"/>
      <c r="AY611" s="427" t="s">
        <v>1559</v>
      </c>
      <c r="AZ611" s="373"/>
      <c r="BB611" s="374" t="s">
        <v>2214</v>
      </c>
      <c r="BC611" s="445"/>
      <c r="BE611" s="448">
        <v>0</v>
      </c>
      <c r="BF611" s="449">
        <v>0</v>
      </c>
      <c r="BG611" s="450" t="s">
        <v>1764</v>
      </c>
      <c r="BH611" s="445"/>
      <c r="BI611" s="491"/>
      <c r="BJ611" s="491">
        <v>1</v>
      </c>
      <c r="BK611" s="445" t="s">
        <v>3377</v>
      </c>
      <c r="BL611" s="445" t="s">
        <v>3378</v>
      </c>
      <c r="BM611" s="445"/>
      <c r="BN611" s="445" t="s">
        <v>1765</v>
      </c>
      <c r="BO611" s="445" t="s">
        <v>1765</v>
      </c>
      <c r="BP611" s="445" t="s">
        <v>1765</v>
      </c>
      <c r="BQ611" s="445" t="s">
        <v>1269</v>
      </c>
      <c r="BR611" s="445"/>
      <c r="BS611" s="445"/>
      <c r="BT611" s="445"/>
      <c r="BU611" s="445"/>
      <c r="BV611" s="445"/>
      <c r="BW611" s="445" t="s">
        <v>2512</v>
      </c>
      <c r="BX611" s="445"/>
      <c r="BY611" s="445"/>
    </row>
    <row r="612" spans="1:77" ht="15">
      <c r="A612" s="370" t="s">
        <v>1269</v>
      </c>
      <c r="B612" s="415" t="s">
        <v>132</v>
      </c>
      <c r="C612" s="416" t="s">
        <v>1682</v>
      </c>
      <c r="D612" s="444">
        <v>0</v>
      </c>
      <c r="E612" s="415" t="s">
        <v>1716</v>
      </c>
      <c r="F612" s="444">
        <v>3</v>
      </c>
      <c r="G612" s="415" t="s">
        <v>1661</v>
      </c>
      <c r="H612" s="444">
        <v>97</v>
      </c>
      <c r="I612" s="417" t="s">
        <v>1686</v>
      </c>
      <c r="J612" s="444">
        <v>2.9</v>
      </c>
      <c r="K612" s="444">
        <v>48</v>
      </c>
      <c r="L612" s="444">
        <v>0</v>
      </c>
      <c r="M612" s="444">
        <v>0</v>
      </c>
      <c r="N612" s="444">
        <v>1</v>
      </c>
      <c r="O612" s="444">
        <v>0</v>
      </c>
      <c r="P612" s="444">
        <v>0</v>
      </c>
      <c r="Q612" s="444">
        <v>0</v>
      </c>
      <c r="R612" s="444">
        <v>0</v>
      </c>
      <c r="S612" s="444">
        <v>0</v>
      </c>
      <c r="T612" s="444">
        <v>0</v>
      </c>
      <c r="U612" s="444">
        <v>0</v>
      </c>
      <c r="V612" s="444">
        <v>0</v>
      </c>
      <c r="W612" s="444">
        <v>34</v>
      </c>
      <c r="X612" s="418"/>
      <c r="Y612" s="445"/>
      <c r="Z612" s="420"/>
      <c r="AA612" s="421">
        <v>80.894999999999996</v>
      </c>
      <c r="AB612" s="421">
        <v>29.978000000000002</v>
      </c>
      <c r="AC612" s="454">
        <v>2</v>
      </c>
      <c r="AE612" s="445" t="s">
        <v>2520</v>
      </c>
      <c r="AF612" s="454">
        <v>1</v>
      </c>
      <c r="AG612" s="441">
        <v>43101</v>
      </c>
      <c r="AJ612" s="442">
        <v>43405</v>
      </c>
      <c r="AL612" s="446" t="s">
        <v>911</v>
      </c>
      <c r="AO612" s="445"/>
      <c r="AP612" s="454">
        <v>556693</v>
      </c>
      <c r="AQ612" s="443">
        <v>43397</v>
      </c>
      <c r="AT612" s="447"/>
      <c r="AU612" s="447"/>
      <c r="AV612" s="447"/>
      <c r="AY612" s="427" t="s">
        <v>1559</v>
      </c>
      <c r="AZ612" s="373"/>
      <c r="BB612" s="374" t="s">
        <v>2214</v>
      </c>
      <c r="BC612" s="445"/>
      <c r="BE612" s="448">
        <v>0</v>
      </c>
      <c r="BF612" s="449">
        <v>0</v>
      </c>
      <c r="BG612" s="450" t="s">
        <v>1764</v>
      </c>
      <c r="BH612" s="445"/>
      <c r="BI612" s="491"/>
      <c r="BJ612" s="491">
        <v>2</v>
      </c>
      <c r="BK612" s="445" t="s">
        <v>3379</v>
      </c>
      <c r="BL612" s="445" t="s">
        <v>3380</v>
      </c>
      <c r="BM612" s="445"/>
      <c r="BN612" s="445" t="s">
        <v>1765</v>
      </c>
      <c r="BO612" s="445" t="s">
        <v>1765</v>
      </c>
      <c r="BP612" s="445" t="s">
        <v>1765</v>
      </c>
      <c r="BQ612" s="445" t="s">
        <v>1269</v>
      </c>
      <c r="BR612" s="445"/>
      <c r="BS612" s="445"/>
      <c r="BT612" s="445"/>
      <c r="BU612" s="445"/>
      <c r="BV612" s="445"/>
      <c r="BW612" s="445" t="s">
        <v>2512</v>
      </c>
      <c r="BX612" s="445"/>
      <c r="BY612" s="445"/>
    </row>
    <row r="613" spans="1:77" ht="15">
      <c r="A613" s="370" t="s">
        <v>1269</v>
      </c>
      <c r="B613" s="415" t="s">
        <v>19</v>
      </c>
      <c r="C613" s="416" t="s">
        <v>1682</v>
      </c>
      <c r="D613" s="444">
        <v>0</v>
      </c>
      <c r="E613" s="415" t="s">
        <v>1716</v>
      </c>
      <c r="F613" s="444">
        <v>3</v>
      </c>
      <c r="G613" s="415" t="s">
        <v>1661</v>
      </c>
      <c r="H613" s="444">
        <v>54</v>
      </c>
      <c r="I613" s="417" t="s">
        <v>1687</v>
      </c>
      <c r="J613" s="444">
        <v>4.4000000000000004</v>
      </c>
      <c r="K613" s="444">
        <v>456</v>
      </c>
      <c r="L613" s="444">
        <v>0</v>
      </c>
      <c r="M613" s="444">
        <v>0</v>
      </c>
      <c r="N613" s="444">
        <v>7</v>
      </c>
      <c r="O613" s="444">
        <v>0</v>
      </c>
      <c r="P613" s="444">
        <v>0</v>
      </c>
      <c r="Q613" s="444">
        <v>0</v>
      </c>
      <c r="R613" s="444">
        <v>0</v>
      </c>
      <c r="S613" s="444">
        <v>0</v>
      </c>
      <c r="T613" s="444">
        <v>0</v>
      </c>
      <c r="U613" s="444">
        <v>0</v>
      </c>
      <c r="V613" s="444">
        <v>0</v>
      </c>
      <c r="W613" s="444">
        <v>127</v>
      </c>
      <c r="X613" s="418"/>
      <c r="Y613" s="445"/>
      <c r="Z613" s="420"/>
      <c r="AA613" s="421">
        <v>90.783000000000001</v>
      </c>
      <c r="AB613" s="421">
        <v>29.978000000000002</v>
      </c>
      <c r="AC613" s="454">
        <v>13</v>
      </c>
      <c r="AE613" s="445" t="s">
        <v>2521</v>
      </c>
      <c r="AF613" s="454">
        <v>1</v>
      </c>
      <c r="AG613" s="441">
        <v>43101</v>
      </c>
      <c r="AJ613" s="442">
        <v>43420</v>
      </c>
      <c r="AL613" s="446" t="s">
        <v>1001</v>
      </c>
      <c r="AO613" s="445"/>
      <c r="AP613" s="454">
        <v>556693</v>
      </c>
      <c r="AQ613" s="443">
        <v>43420</v>
      </c>
      <c r="AT613" s="447"/>
      <c r="AU613" s="447"/>
      <c r="AV613" s="447"/>
      <c r="AY613" s="427" t="s">
        <v>1559</v>
      </c>
      <c r="AZ613" s="373"/>
      <c r="BB613" s="374" t="s">
        <v>2214</v>
      </c>
      <c r="BC613" s="445"/>
      <c r="BE613" s="448">
        <v>0</v>
      </c>
      <c r="BF613" s="449">
        <v>0</v>
      </c>
      <c r="BG613" s="450" t="s">
        <v>1764</v>
      </c>
      <c r="BH613" s="445"/>
      <c r="BI613" s="491"/>
      <c r="BJ613" s="491">
        <v>1</v>
      </c>
      <c r="BK613" s="445" t="s">
        <v>3381</v>
      </c>
      <c r="BL613" s="445" t="s">
        <v>3382</v>
      </c>
      <c r="BM613" s="445"/>
      <c r="BN613" s="445" t="s">
        <v>1765</v>
      </c>
      <c r="BO613" s="445" t="s">
        <v>1765</v>
      </c>
      <c r="BP613" s="445" t="s">
        <v>1765</v>
      </c>
      <c r="BQ613" s="445" t="s">
        <v>1269</v>
      </c>
      <c r="BR613" s="445"/>
      <c r="BS613" s="445"/>
      <c r="BT613" s="445"/>
      <c r="BU613" s="445"/>
      <c r="BV613" s="445"/>
      <c r="BW613" s="445" t="s">
        <v>2512</v>
      </c>
      <c r="BX613" s="445"/>
      <c r="BY613" s="445"/>
    </row>
    <row r="614" spans="1:77" ht="15">
      <c r="A614" s="370" t="s">
        <v>1269</v>
      </c>
      <c r="B614" s="415" t="s">
        <v>216</v>
      </c>
      <c r="C614" s="416" t="s">
        <v>1682</v>
      </c>
      <c r="D614" s="444">
        <v>0</v>
      </c>
      <c r="E614" s="415" t="s">
        <v>1716</v>
      </c>
      <c r="F614" s="444">
        <v>3</v>
      </c>
      <c r="G614" s="415" t="s">
        <v>1661</v>
      </c>
      <c r="H614" s="444">
        <v>30</v>
      </c>
      <c r="I614" s="417" t="s">
        <v>1685</v>
      </c>
      <c r="J614" s="444">
        <v>3.6</v>
      </c>
      <c r="K614" s="444">
        <v>198</v>
      </c>
      <c r="L614" s="444">
        <v>0</v>
      </c>
      <c r="M614" s="444">
        <v>0</v>
      </c>
      <c r="N614" s="444">
        <v>2</v>
      </c>
      <c r="O614" s="444">
        <v>0</v>
      </c>
      <c r="P614" s="444">
        <v>0</v>
      </c>
      <c r="Q614" s="444">
        <v>0</v>
      </c>
      <c r="R614" s="444">
        <v>0</v>
      </c>
      <c r="S614" s="444">
        <v>0</v>
      </c>
      <c r="T614" s="444">
        <v>0</v>
      </c>
      <c r="U614" s="444">
        <v>0</v>
      </c>
      <c r="V614" s="444">
        <v>0</v>
      </c>
      <c r="W614" s="444">
        <v>124</v>
      </c>
      <c r="X614" s="418"/>
      <c r="Y614" s="445"/>
      <c r="Z614" s="420"/>
      <c r="AA614" s="421">
        <v>73.113</v>
      </c>
      <c r="AB614" s="421">
        <v>29.978000000000002</v>
      </c>
      <c r="AC614" s="454">
        <v>8</v>
      </c>
      <c r="AE614" s="445" t="s">
        <v>2522</v>
      </c>
      <c r="AF614" s="454">
        <v>1</v>
      </c>
      <c r="AG614" s="441">
        <v>43101</v>
      </c>
      <c r="AJ614" s="442">
        <v>43413</v>
      </c>
      <c r="AL614" s="446" t="s">
        <v>928</v>
      </c>
      <c r="AO614" s="445"/>
      <c r="AP614" s="454">
        <v>556696</v>
      </c>
      <c r="AQ614" s="443">
        <v>43413</v>
      </c>
      <c r="AT614" s="447"/>
      <c r="AU614" s="447"/>
      <c r="AV614" s="447"/>
      <c r="AY614" s="427" t="s">
        <v>1559</v>
      </c>
      <c r="AZ614" s="373"/>
      <c r="BB614" s="374" t="s">
        <v>2214</v>
      </c>
      <c r="BC614" s="445"/>
      <c r="BE614" s="448">
        <v>0</v>
      </c>
      <c r="BF614" s="449">
        <v>0</v>
      </c>
      <c r="BG614" s="450" t="s">
        <v>1764</v>
      </c>
      <c r="BH614" s="445"/>
      <c r="BI614" s="491"/>
      <c r="BJ614" s="491">
        <v>2</v>
      </c>
      <c r="BK614" s="445" t="s">
        <v>3383</v>
      </c>
      <c r="BL614" s="445" t="s">
        <v>3384</v>
      </c>
      <c r="BM614" s="445"/>
      <c r="BN614" s="445" t="s">
        <v>1765</v>
      </c>
      <c r="BO614" s="445" t="s">
        <v>1765</v>
      </c>
      <c r="BP614" s="445" t="s">
        <v>1765</v>
      </c>
      <c r="BQ614" s="445" t="s">
        <v>1269</v>
      </c>
      <c r="BR614" s="445"/>
      <c r="BS614" s="445"/>
      <c r="BT614" s="445"/>
      <c r="BU614" s="445"/>
      <c r="BV614" s="445"/>
      <c r="BW614" s="445" t="s">
        <v>2512</v>
      </c>
      <c r="BX614" s="445"/>
      <c r="BY614" s="445"/>
    </row>
    <row r="615" spans="1:77" ht="15">
      <c r="A615" s="370" t="s">
        <v>1269</v>
      </c>
      <c r="B615" s="415" t="s">
        <v>216</v>
      </c>
      <c r="C615" s="416" t="s">
        <v>1682</v>
      </c>
      <c r="D615" s="444">
        <v>0</v>
      </c>
      <c r="E615" s="415" t="s">
        <v>1716</v>
      </c>
      <c r="F615" s="444">
        <v>3</v>
      </c>
      <c r="G615" s="415" t="s">
        <v>1661</v>
      </c>
      <c r="H615" s="444">
        <v>78</v>
      </c>
      <c r="I615" s="417" t="s">
        <v>1632</v>
      </c>
      <c r="J615" s="444">
        <v>7.8</v>
      </c>
      <c r="K615" s="444">
        <v>478</v>
      </c>
      <c r="L615" s="444">
        <v>0</v>
      </c>
      <c r="M615" s="444">
        <v>24</v>
      </c>
      <c r="N615" s="444">
        <v>1</v>
      </c>
      <c r="O615" s="444">
        <v>0</v>
      </c>
      <c r="P615" s="444">
        <v>0</v>
      </c>
      <c r="Q615" s="444">
        <v>0</v>
      </c>
      <c r="R615" s="444">
        <v>0</v>
      </c>
      <c r="S615" s="444">
        <v>0</v>
      </c>
      <c r="T615" s="444">
        <v>0</v>
      </c>
      <c r="U615" s="444">
        <v>0</v>
      </c>
      <c r="V615" s="444">
        <v>99</v>
      </c>
      <c r="W615" s="444">
        <v>51</v>
      </c>
      <c r="X615" s="418"/>
      <c r="Y615" s="445"/>
      <c r="Z615" s="420"/>
      <c r="AA615" s="421">
        <v>73.527000000000001</v>
      </c>
      <c r="AB615" s="421">
        <v>29.978000000000002</v>
      </c>
      <c r="AC615" s="454">
        <v>20</v>
      </c>
      <c r="AE615" s="445" t="s">
        <v>2523</v>
      </c>
      <c r="AF615" s="454">
        <v>1</v>
      </c>
      <c r="AG615" s="441">
        <v>43101</v>
      </c>
      <c r="AJ615" s="442">
        <v>43413</v>
      </c>
      <c r="AL615" s="446" t="s">
        <v>1772</v>
      </c>
      <c r="AO615" s="445"/>
      <c r="AP615" s="454">
        <v>556696</v>
      </c>
      <c r="AQ615" s="443">
        <v>43413</v>
      </c>
      <c r="AT615" s="447"/>
      <c r="AU615" s="447"/>
      <c r="AV615" s="447"/>
      <c r="AY615" s="427" t="s">
        <v>1559</v>
      </c>
      <c r="AZ615" s="373"/>
      <c r="BB615" s="374" t="s">
        <v>2214</v>
      </c>
      <c r="BC615" s="445"/>
      <c r="BE615" s="448">
        <v>0</v>
      </c>
      <c r="BF615" s="449">
        <v>0</v>
      </c>
      <c r="BG615" s="450" t="s">
        <v>1764</v>
      </c>
      <c r="BH615" s="445"/>
      <c r="BI615" s="491"/>
      <c r="BJ615" s="491">
        <v>3</v>
      </c>
      <c r="BK615" s="445" t="s">
        <v>84</v>
      </c>
      <c r="BL615" s="445" t="s">
        <v>3385</v>
      </c>
      <c r="BM615" s="445"/>
      <c r="BN615" s="445" t="s">
        <v>1765</v>
      </c>
      <c r="BO615" s="445" t="s">
        <v>1765</v>
      </c>
      <c r="BP615" s="445" t="s">
        <v>1765</v>
      </c>
      <c r="BQ615" s="445" t="s">
        <v>1269</v>
      </c>
      <c r="BR615" s="445"/>
      <c r="BS615" s="445"/>
      <c r="BT615" s="445"/>
      <c r="BU615" s="445"/>
      <c r="BV615" s="445"/>
      <c r="BW615" s="445" t="s">
        <v>2512</v>
      </c>
      <c r="BX615" s="445"/>
      <c r="BY615" s="445"/>
    </row>
    <row r="616" spans="1:77" ht="15">
      <c r="A616" s="370" t="s">
        <v>1269</v>
      </c>
      <c r="B616" s="415" t="s">
        <v>216</v>
      </c>
      <c r="C616" s="416" t="s">
        <v>1682</v>
      </c>
      <c r="D616" s="444">
        <v>0</v>
      </c>
      <c r="E616" s="415" t="s">
        <v>1716</v>
      </c>
      <c r="F616" s="444">
        <v>3</v>
      </c>
      <c r="G616" s="415" t="s">
        <v>1661</v>
      </c>
      <c r="H616" s="444">
        <v>67</v>
      </c>
      <c r="I616" s="417" t="s">
        <v>1424</v>
      </c>
      <c r="J616" s="444">
        <v>2.2000000000000002</v>
      </c>
      <c r="K616" s="444">
        <v>252</v>
      </c>
      <c r="L616" s="444">
        <v>0</v>
      </c>
      <c r="M616" s="444">
        <v>14</v>
      </c>
      <c r="N616" s="444">
        <v>0</v>
      </c>
      <c r="O616" s="444">
        <v>0</v>
      </c>
      <c r="P616" s="444">
        <v>0</v>
      </c>
      <c r="Q616" s="444">
        <v>0</v>
      </c>
      <c r="R616" s="444">
        <v>0</v>
      </c>
      <c r="S616" s="444">
        <v>0</v>
      </c>
      <c r="T616" s="444">
        <v>0</v>
      </c>
      <c r="U616" s="444">
        <v>0</v>
      </c>
      <c r="V616" s="444">
        <v>84</v>
      </c>
      <c r="W616" s="444">
        <v>25</v>
      </c>
      <c r="X616" s="418"/>
      <c r="Y616" s="445"/>
      <c r="Z616" s="420"/>
      <c r="AA616" s="421">
        <v>71.268000000000001</v>
      </c>
      <c r="AB616" s="421">
        <v>29.978000000000002</v>
      </c>
      <c r="AC616" s="454">
        <v>14</v>
      </c>
      <c r="AE616" s="445" t="s">
        <v>2524</v>
      </c>
      <c r="AF616" s="454">
        <v>1</v>
      </c>
      <c r="AG616" s="441">
        <v>43101</v>
      </c>
      <c r="AJ616" s="442">
        <v>43413</v>
      </c>
      <c r="AL616" s="446" t="s">
        <v>1019</v>
      </c>
      <c r="AO616" s="445"/>
      <c r="AP616" s="454">
        <v>556696</v>
      </c>
      <c r="AQ616" s="443">
        <v>43413</v>
      </c>
      <c r="AT616" s="447"/>
      <c r="AU616" s="447"/>
      <c r="AV616" s="447"/>
      <c r="AY616" s="427" t="s">
        <v>1559</v>
      </c>
      <c r="AZ616" s="373"/>
      <c r="BB616" s="374" t="s">
        <v>2214</v>
      </c>
      <c r="BC616" s="445"/>
      <c r="BE616" s="448">
        <v>0</v>
      </c>
      <c r="BF616" s="449">
        <v>0</v>
      </c>
      <c r="BG616" s="450" t="s">
        <v>1764</v>
      </c>
      <c r="BH616" s="445"/>
      <c r="BI616" s="491"/>
      <c r="BJ616" s="491">
        <v>4</v>
      </c>
      <c r="BK616" s="445" t="s">
        <v>3386</v>
      </c>
      <c r="BL616" s="445" t="s">
        <v>3387</v>
      </c>
      <c r="BM616" s="445"/>
      <c r="BN616" s="445" t="s">
        <v>1765</v>
      </c>
      <c r="BO616" s="445" t="s">
        <v>1765</v>
      </c>
      <c r="BP616" s="445" t="s">
        <v>1765</v>
      </c>
      <c r="BQ616" s="445" t="s">
        <v>1269</v>
      </c>
      <c r="BR616" s="445"/>
      <c r="BS616" s="445"/>
      <c r="BT616" s="445"/>
      <c r="BU616" s="445"/>
      <c r="BV616" s="445"/>
      <c r="BW616" s="445" t="s">
        <v>2512</v>
      </c>
      <c r="BX616" s="445"/>
      <c r="BY616" s="445"/>
    </row>
    <row r="617" spans="1:77" ht="15">
      <c r="A617" s="370" t="s">
        <v>31</v>
      </c>
      <c r="B617" s="415" t="s">
        <v>216</v>
      </c>
      <c r="C617" s="416" t="s">
        <v>31</v>
      </c>
      <c r="D617" s="444">
        <v>0</v>
      </c>
      <c r="E617" s="415" t="s">
        <v>1716</v>
      </c>
      <c r="F617" s="444">
        <v>2</v>
      </c>
      <c r="G617" s="415" t="s">
        <v>1661</v>
      </c>
      <c r="H617" s="444">
        <v>113</v>
      </c>
      <c r="I617" s="417" t="s">
        <v>1423</v>
      </c>
      <c r="J617" s="444">
        <v>1.5</v>
      </c>
      <c r="K617" s="444">
        <v>712</v>
      </c>
      <c r="L617" s="444">
        <v>0</v>
      </c>
      <c r="M617" s="444">
        <v>8</v>
      </c>
      <c r="N617" s="444">
        <v>328</v>
      </c>
      <c r="O617" s="444">
        <v>0</v>
      </c>
      <c r="P617" s="444">
        <v>0</v>
      </c>
      <c r="Q617" s="444">
        <v>10</v>
      </c>
      <c r="R617" s="444">
        <v>6</v>
      </c>
      <c r="S617" s="444">
        <v>8</v>
      </c>
      <c r="T617" s="444">
        <v>115</v>
      </c>
      <c r="U617" s="444">
        <v>3</v>
      </c>
      <c r="V617" s="444">
        <v>6</v>
      </c>
      <c r="W617" s="444">
        <v>81</v>
      </c>
      <c r="X617" s="418"/>
      <c r="Y617" s="445"/>
      <c r="Z617" s="420"/>
      <c r="AA617" s="421">
        <v>63.628</v>
      </c>
      <c r="AB617" s="421">
        <v>30.439</v>
      </c>
      <c r="AC617" s="454">
        <v>35</v>
      </c>
      <c r="AE617" s="445" t="s">
        <v>2526</v>
      </c>
      <c r="AF617" s="454">
        <v>1</v>
      </c>
      <c r="AG617" s="441">
        <v>43101</v>
      </c>
      <c r="AJ617" s="442">
        <v>43410</v>
      </c>
      <c r="AL617" s="446" t="s">
        <v>929</v>
      </c>
      <c r="AO617" s="445"/>
      <c r="AP617" s="454">
        <v>556618</v>
      </c>
      <c r="AQ617" s="443">
        <v>43077</v>
      </c>
      <c r="AT617" s="447"/>
      <c r="AU617" s="447"/>
      <c r="AV617" s="447"/>
      <c r="AY617" s="427" t="s">
        <v>1559</v>
      </c>
      <c r="AZ617" s="373"/>
      <c r="BB617" s="374" t="s">
        <v>2214</v>
      </c>
      <c r="BC617" s="445"/>
      <c r="BE617" s="448">
        <v>5</v>
      </c>
      <c r="BF617" s="449">
        <v>40</v>
      </c>
      <c r="BG617" s="450" t="s">
        <v>1764</v>
      </c>
      <c r="BH617" s="445"/>
      <c r="BI617" s="491"/>
      <c r="BJ617" s="491">
        <v>1</v>
      </c>
      <c r="BK617" s="445" t="s">
        <v>3388</v>
      </c>
      <c r="BL617" s="445" t="s">
        <v>3389</v>
      </c>
      <c r="BM617" s="445"/>
      <c r="BN617" s="445" t="s">
        <v>1765</v>
      </c>
      <c r="BO617" s="445" t="s">
        <v>1765</v>
      </c>
      <c r="BP617" s="445" t="s">
        <v>1765</v>
      </c>
      <c r="BQ617" s="445" t="s">
        <v>31</v>
      </c>
      <c r="BR617" s="445"/>
      <c r="BS617" s="445"/>
      <c r="BT617" s="445"/>
      <c r="BU617" s="445"/>
      <c r="BV617" s="445"/>
      <c r="BW617" s="445" t="s">
        <v>2525</v>
      </c>
      <c r="BX617" s="445"/>
      <c r="BY617" s="445"/>
    </row>
    <row r="618" spans="1:77" ht="15">
      <c r="A618" s="370" t="s">
        <v>1269</v>
      </c>
      <c r="B618" s="415" t="s">
        <v>85</v>
      </c>
      <c r="C618" s="416" t="s">
        <v>1784</v>
      </c>
      <c r="D618" s="444">
        <v>0</v>
      </c>
      <c r="E618" s="415" t="s">
        <v>1716</v>
      </c>
      <c r="F618" s="444">
        <v>3</v>
      </c>
      <c r="G618" s="415" t="s">
        <v>1661</v>
      </c>
      <c r="H618" s="444">
        <v>78</v>
      </c>
      <c r="I618" s="417" t="s">
        <v>1694</v>
      </c>
      <c r="J618" s="444">
        <v>3</v>
      </c>
      <c r="K618" s="444">
        <v>81</v>
      </c>
      <c r="L618" s="444">
        <v>0</v>
      </c>
      <c r="M618" s="444">
        <v>0</v>
      </c>
      <c r="N618" s="444">
        <v>0</v>
      </c>
      <c r="O618" s="444">
        <v>0</v>
      </c>
      <c r="P618" s="444">
        <v>0</v>
      </c>
      <c r="Q618" s="444">
        <v>0</v>
      </c>
      <c r="R618" s="444">
        <v>0</v>
      </c>
      <c r="S618" s="444">
        <v>0</v>
      </c>
      <c r="T618" s="444">
        <v>0</v>
      </c>
      <c r="U618" s="444">
        <v>0</v>
      </c>
      <c r="V618" s="444">
        <v>0</v>
      </c>
      <c r="W618" s="444">
        <v>2</v>
      </c>
      <c r="X618" s="418"/>
      <c r="Y618" s="445"/>
      <c r="Z618" s="420"/>
      <c r="AA618" s="421">
        <v>338.15300000000002</v>
      </c>
      <c r="AB618" s="421">
        <v>29.978000000000002</v>
      </c>
      <c r="AC618" s="454">
        <v>57</v>
      </c>
      <c r="AE618" s="445" t="s">
        <v>2527</v>
      </c>
      <c r="AF618" s="454">
        <v>1</v>
      </c>
      <c r="AG618" s="441">
        <v>43101</v>
      </c>
      <c r="AJ618" s="442">
        <v>43405</v>
      </c>
      <c r="AL618" s="446" t="s">
        <v>1009</v>
      </c>
      <c r="AO618" s="445"/>
      <c r="AP618" s="454">
        <v>556630</v>
      </c>
      <c r="AQ618" s="443">
        <v>43102</v>
      </c>
      <c r="AT618" s="447"/>
      <c r="AU618" s="447"/>
      <c r="AV618" s="447"/>
      <c r="AY618" s="427" t="s">
        <v>1717</v>
      </c>
      <c r="AZ618" s="373"/>
      <c r="BB618" s="374" t="s">
        <v>1727</v>
      </c>
      <c r="BC618" s="445"/>
      <c r="BE618" s="448">
        <v>0</v>
      </c>
      <c r="BF618" s="449">
        <v>0</v>
      </c>
      <c r="BG618" s="450" t="s">
        <v>1764</v>
      </c>
      <c r="BH618" s="445"/>
      <c r="BI618" s="491"/>
      <c r="BJ618" s="491">
        <v>1</v>
      </c>
      <c r="BK618" s="445" t="s">
        <v>1928</v>
      </c>
      <c r="BL618" s="445" t="s">
        <v>2696</v>
      </c>
      <c r="BM618" s="445"/>
      <c r="BN618" s="445" t="s">
        <v>1765</v>
      </c>
      <c r="BO618" s="445" t="s">
        <v>1765</v>
      </c>
      <c r="BP618" s="445" t="s">
        <v>1765</v>
      </c>
      <c r="BQ618" s="445" t="s">
        <v>1269</v>
      </c>
      <c r="BR618" s="445"/>
      <c r="BS618" s="445"/>
      <c r="BT618" s="445"/>
      <c r="BU618" s="445"/>
      <c r="BV618" s="445"/>
      <c r="BW618" s="445" t="s">
        <v>2525</v>
      </c>
      <c r="BX618" s="445"/>
      <c r="BY618" s="445"/>
    </row>
    <row r="619" spans="1:77" ht="15">
      <c r="A619" s="370" t="s">
        <v>1269</v>
      </c>
      <c r="B619" s="415" t="s">
        <v>85</v>
      </c>
      <c r="C619" s="416" t="s">
        <v>1784</v>
      </c>
      <c r="D619" s="444">
        <v>0</v>
      </c>
      <c r="E619" s="415" t="s">
        <v>1716</v>
      </c>
      <c r="F619" s="444">
        <v>3</v>
      </c>
      <c r="G619" s="415" t="s">
        <v>1661</v>
      </c>
      <c r="H619" s="444">
        <v>48</v>
      </c>
      <c r="I619" s="417" t="s">
        <v>1683</v>
      </c>
      <c r="J619" s="444">
        <v>6.1</v>
      </c>
      <c r="K619" s="444">
        <v>75</v>
      </c>
      <c r="L619" s="444">
        <v>0</v>
      </c>
      <c r="M619" s="444">
        <v>0</v>
      </c>
      <c r="N619" s="444">
        <v>0</v>
      </c>
      <c r="O619" s="444">
        <v>0</v>
      </c>
      <c r="P619" s="444">
        <v>0</v>
      </c>
      <c r="Q619" s="444">
        <v>0</v>
      </c>
      <c r="R619" s="444">
        <v>0</v>
      </c>
      <c r="S619" s="444">
        <v>0</v>
      </c>
      <c r="T619" s="444">
        <v>0</v>
      </c>
      <c r="U619" s="444">
        <v>0</v>
      </c>
      <c r="V619" s="444">
        <v>0</v>
      </c>
      <c r="W619" s="444">
        <v>3</v>
      </c>
      <c r="X619" s="418"/>
      <c r="Y619" s="445"/>
      <c r="Z619" s="420"/>
      <c r="AA619" s="421">
        <v>336.93200000000002</v>
      </c>
      <c r="AB619" s="421">
        <v>29.978000000000002</v>
      </c>
      <c r="AC619" s="454">
        <v>76</v>
      </c>
      <c r="AE619" s="445" t="s">
        <v>2528</v>
      </c>
      <c r="AF619" s="454">
        <v>1</v>
      </c>
      <c r="AG619" s="441">
        <v>43101</v>
      </c>
      <c r="AJ619" s="442">
        <v>43405</v>
      </c>
      <c r="AL619" s="446" t="s">
        <v>1008</v>
      </c>
      <c r="AO619" s="445"/>
      <c r="AP619" s="454">
        <v>556630</v>
      </c>
      <c r="AQ619" s="443">
        <v>43102</v>
      </c>
      <c r="AT619" s="447"/>
      <c r="AU619" s="447"/>
      <c r="AV619" s="447"/>
      <c r="AY619" s="427" t="s">
        <v>1717</v>
      </c>
      <c r="AZ619" s="373"/>
      <c r="BB619" s="374" t="s">
        <v>1727</v>
      </c>
      <c r="BC619" s="445"/>
      <c r="BE619" s="448">
        <v>0</v>
      </c>
      <c r="BF619" s="449">
        <v>0</v>
      </c>
      <c r="BG619" s="450" t="s">
        <v>1764</v>
      </c>
      <c r="BH619" s="445"/>
      <c r="BI619" s="491"/>
      <c r="BJ619" s="491">
        <v>2</v>
      </c>
      <c r="BK619" s="445" t="s">
        <v>128</v>
      </c>
      <c r="BL619" s="445" t="s">
        <v>2698</v>
      </c>
      <c r="BM619" s="445"/>
      <c r="BN619" s="445" t="s">
        <v>1765</v>
      </c>
      <c r="BO619" s="445" t="s">
        <v>1765</v>
      </c>
      <c r="BP619" s="445" t="s">
        <v>1765</v>
      </c>
      <c r="BQ619" s="445" t="s">
        <v>1269</v>
      </c>
      <c r="BR619" s="445"/>
      <c r="BS619" s="445"/>
      <c r="BT619" s="445"/>
      <c r="BU619" s="445"/>
      <c r="BV619" s="445"/>
      <c r="BW619" s="445" t="s">
        <v>2525</v>
      </c>
      <c r="BX619" s="445"/>
      <c r="BY619" s="445"/>
    </row>
    <row r="620" spans="1:77" ht="15">
      <c r="A620" s="370" t="s">
        <v>1269</v>
      </c>
      <c r="B620" s="415" t="s">
        <v>296</v>
      </c>
      <c r="C620" s="416" t="s">
        <v>1682</v>
      </c>
      <c r="D620" s="444">
        <v>0</v>
      </c>
      <c r="E620" s="415" t="s">
        <v>1716</v>
      </c>
      <c r="F620" s="444">
        <v>3</v>
      </c>
      <c r="G620" s="415" t="s">
        <v>1661</v>
      </c>
      <c r="H620" s="444">
        <v>21</v>
      </c>
      <c r="I620" s="417" t="s">
        <v>1434</v>
      </c>
      <c r="J620" s="444">
        <v>20.7</v>
      </c>
      <c r="K620" s="444">
        <v>810</v>
      </c>
      <c r="L620" s="444">
        <v>0</v>
      </c>
      <c r="M620" s="444">
        <v>0</v>
      </c>
      <c r="N620" s="444">
        <v>10</v>
      </c>
      <c r="O620" s="444">
        <v>0</v>
      </c>
      <c r="P620" s="444">
        <v>0</v>
      </c>
      <c r="Q620" s="444">
        <v>0</v>
      </c>
      <c r="R620" s="444">
        <v>0</v>
      </c>
      <c r="S620" s="444">
        <v>0</v>
      </c>
      <c r="T620" s="444">
        <v>0</v>
      </c>
      <c r="U620" s="444">
        <v>4</v>
      </c>
      <c r="V620" s="444">
        <v>0</v>
      </c>
      <c r="W620" s="444">
        <v>302</v>
      </c>
      <c r="X620" s="418"/>
      <c r="Y620" s="445"/>
      <c r="Z620" s="420"/>
      <c r="AA620" s="421">
        <v>88.094999999999999</v>
      </c>
      <c r="AB620" s="421">
        <v>29.978000000000002</v>
      </c>
      <c r="AC620" s="454">
        <v>26</v>
      </c>
      <c r="AE620" s="445" t="s">
        <v>2529</v>
      </c>
      <c r="AF620" s="454">
        <v>1</v>
      </c>
      <c r="AG620" s="441">
        <v>43101</v>
      </c>
      <c r="AJ620" s="442">
        <v>43413</v>
      </c>
      <c r="AL620" s="446" t="s">
        <v>1024</v>
      </c>
      <c r="AO620" s="445"/>
      <c r="AP620" s="454">
        <v>556697</v>
      </c>
      <c r="AQ620" s="443">
        <v>43413</v>
      </c>
      <c r="AT620" s="447"/>
      <c r="AU620" s="447"/>
      <c r="AV620" s="447"/>
      <c r="AY620" s="427" t="s">
        <v>1722</v>
      </c>
      <c r="AZ620" s="373"/>
      <c r="BB620" s="374" t="s">
        <v>1728</v>
      </c>
      <c r="BC620" s="445"/>
      <c r="BE620" s="448">
        <v>0</v>
      </c>
      <c r="BF620" s="449">
        <v>0</v>
      </c>
      <c r="BG620" s="450" t="s">
        <v>1764</v>
      </c>
      <c r="BH620" s="445"/>
      <c r="BI620" s="491"/>
      <c r="BJ620" s="491">
        <v>1</v>
      </c>
      <c r="BK620" s="445" t="s">
        <v>236</v>
      </c>
      <c r="BL620" s="445" t="s">
        <v>3390</v>
      </c>
      <c r="BM620" s="445"/>
      <c r="BN620" s="445" t="s">
        <v>1765</v>
      </c>
      <c r="BO620" s="445" t="s">
        <v>1765</v>
      </c>
      <c r="BP620" s="445" t="s">
        <v>1765</v>
      </c>
      <c r="BQ620" s="445" t="s">
        <v>1269</v>
      </c>
      <c r="BR620" s="445"/>
      <c r="BS620" s="445"/>
      <c r="BT620" s="445"/>
      <c r="BU620" s="445"/>
      <c r="BV620" s="445"/>
      <c r="BW620" s="445" t="s">
        <v>2525</v>
      </c>
      <c r="BX620" s="445"/>
      <c r="BY620" s="445"/>
    </row>
    <row r="621" spans="1:77" ht="15">
      <c r="A621" s="370" t="s">
        <v>1269</v>
      </c>
      <c r="B621" s="415" t="s">
        <v>296</v>
      </c>
      <c r="C621" s="416" t="s">
        <v>1682</v>
      </c>
      <c r="D621" s="444">
        <v>0</v>
      </c>
      <c r="E621" s="415" t="s">
        <v>1716</v>
      </c>
      <c r="F621" s="444">
        <v>3</v>
      </c>
      <c r="G621" s="415" t="s">
        <v>1661</v>
      </c>
      <c r="H621" s="444">
        <v>36</v>
      </c>
      <c r="I621" s="417" t="s">
        <v>1422</v>
      </c>
      <c r="J621" s="444">
        <v>14.5</v>
      </c>
      <c r="K621" s="444">
        <v>441</v>
      </c>
      <c r="L621" s="444">
        <v>0</v>
      </c>
      <c r="M621" s="444">
        <v>0</v>
      </c>
      <c r="N621" s="444">
        <v>10</v>
      </c>
      <c r="O621" s="444">
        <v>0</v>
      </c>
      <c r="P621" s="444">
        <v>0</v>
      </c>
      <c r="Q621" s="444">
        <v>0</v>
      </c>
      <c r="R621" s="444">
        <v>0</v>
      </c>
      <c r="S621" s="444">
        <v>0</v>
      </c>
      <c r="T621" s="444">
        <v>0</v>
      </c>
      <c r="U621" s="444">
        <v>79</v>
      </c>
      <c r="V621" s="444">
        <v>12</v>
      </c>
      <c r="W621" s="444">
        <v>67</v>
      </c>
      <c r="X621" s="418"/>
      <c r="Y621" s="445"/>
      <c r="Z621" s="420"/>
      <c r="AA621" s="421">
        <v>95.662000000000006</v>
      </c>
      <c r="AB621" s="421">
        <v>29.978000000000002</v>
      </c>
      <c r="AC621" s="454">
        <v>18</v>
      </c>
      <c r="AE621" s="445" t="s">
        <v>2530</v>
      </c>
      <c r="AF621" s="454">
        <v>1</v>
      </c>
      <c r="AG621" s="441">
        <v>43101</v>
      </c>
      <c r="AJ621" s="442">
        <v>43413</v>
      </c>
      <c r="AL621" s="446" t="s">
        <v>1026</v>
      </c>
      <c r="AO621" s="445"/>
      <c r="AP621" s="454">
        <v>556697</v>
      </c>
      <c r="AQ621" s="443">
        <v>43413</v>
      </c>
      <c r="AT621" s="447"/>
      <c r="AU621" s="447"/>
      <c r="AV621" s="447"/>
      <c r="AY621" s="427" t="s">
        <v>1722</v>
      </c>
      <c r="AZ621" s="373"/>
      <c r="BB621" s="374" t="s">
        <v>1728</v>
      </c>
      <c r="BC621" s="445"/>
      <c r="BE621" s="448">
        <v>0</v>
      </c>
      <c r="BF621" s="449">
        <v>0</v>
      </c>
      <c r="BG621" s="450" t="s">
        <v>1764</v>
      </c>
      <c r="BH621" s="445"/>
      <c r="BI621" s="491"/>
      <c r="BJ621" s="491">
        <v>2</v>
      </c>
      <c r="BK621" s="445" t="s">
        <v>3391</v>
      </c>
      <c r="BL621" s="445" t="s">
        <v>3392</v>
      </c>
      <c r="BM621" s="445"/>
      <c r="BN621" s="445" t="s">
        <v>1765</v>
      </c>
      <c r="BO621" s="445" t="s">
        <v>1765</v>
      </c>
      <c r="BP621" s="445" t="s">
        <v>1765</v>
      </c>
      <c r="BQ621" s="445" t="s">
        <v>1269</v>
      </c>
      <c r="BR621" s="445"/>
      <c r="BS621" s="445"/>
      <c r="BT621" s="445"/>
      <c r="BU621" s="445"/>
      <c r="BV621" s="445"/>
      <c r="BW621" s="445" t="s">
        <v>2525</v>
      </c>
      <c r="BX621" s="445"/>
      <c r="BY621" s="445"/>
    </row>
    <row r="622" spans="1:77" ht="15">
      <c r="A622" s="370" t="s">
        <v>1269</v>
      </c>
      <c r="B622" s="415" t="s">
        <v>296</v>
      </c>
      <c r="C622" s="416" t="s">
        <v>1682</v>
      </c>
      <c r="D622" s="444">
        <v>0</v>
      </c>
      <c r="E622" s="415" t="s">
        <v>1716</v>
      </c>
      <c r="F622" s="444">
        <v>3</v>
      </c>
      <c r="G622" s="415" t="s">
        <v>1661</v>
      </c>
      <c r="H622" s="444">
        <v>71</v>
      </c>
      <c r="I622" s="417" t="s">
        <v>1530</v>
      </c>
      <c r="J622" s="444">
        <v>26.4</v>
      </c>
      <c r="K622" s="444">
        <v>1801</v>
      </c>
      <c r="L622" s="444">
        <v>0</v>
      </c>
      <c r="M622" s="444">
        <v>0</v>
      </c>
      <c r="N622" s="444">
        <v>26</v>
      </c>
      <c r="O622" s="444">
        <v>0</v>
      </c>
      <c r="P622" s="444">
        <v>0</v>
      </c>
      <c r="Q622" s="444">
        <v>0</v>
      </c>
      <c r="R622" s="444">
        <v>0</v>
      </c>
      <c r="S622" s="444">
        <v>0</v>
      </c>
      <c r="T622" s="444">
        <v>0</v>
      </c>
      <c r="U622" s="444">
        <v>242</v>
      </c>
      <c r="V622" s="444">
        <v>54</v>
      </c>
      <c r="W622" s="444">
        <v>351</v>
      </c>
      <c r="X622" s="418"/>
      <c r="Y622" s="445"/>
      <c r="Z622" s="420"/>
      <c r="AA622" s="421">
        <v>84.647000000000006</v>
      </c>
      <c r="AB622" s="421">
        <v>29.978000000000002</v>
      </c>
      <c r="AC622" s="454">
        <v>69</v>
      </c>
      <c r="AE622" s="445" t="s">
        <v>2531</v>
      </c>
      <c r="AF622" s="454">
        <v>1</v>
      </c>
      <c r="AG622" s="441">
        <v>43101</v>
      </c>
      <c r="AJ622" s="442">
        <v>43413</v>
      </c>
      <c r="AL622" s="446" t="s">
        <v>1026</v>
      </c>
      <c r="AO622" s="445"/>
      <c r="AP622" s="454">
        <v>556697</v>
      </c>
      <c r="AQ622" s="443">
        <v>43413</v>
      </c>
      <c r="AT622" s="447"/>
      <c r="AU622" s="447"/>
      <c r="AV622" s="447"/>
      <c r="AY622" s="427" t="s">
        <v>1722</v>
      </c>
      <c r="AZ622" s="373"/>
      <c r="BB622" s="374" t="s">
        <v>1728</v>
      </c>
      <c r="BC622" s="445"/>
      <c r="BE622" s="448">
        <v>0</v>
      </c>
      <c r="BF622" s="449">
        <v>0</v>
      </c>
      <c r="BG622" s="450" t="s">
        <v>1764</v>
      </c>
      <c r="BH622" s="445"/>
      <c r="BI622" s="491"/>
      <c r="BJ622" s="491">
        <v>3</v>
      </c>
      <c r="BK622" s="445" t="s">
        <v>3393</v>
      </c>
      <c r="BL622" s="445" t="s">
        <v>3394</v>
      </c>
      <c r="BM622" s="445"/>
      <c r="BN622" s="445" t="s">
        <v>1765</v>
      </c>
      <c r="BO622" s="445" t="s">
        <v>1765</v>
      </c>
      <c r="BP622" s="445" t="s">
        <v>1765</v>
      </c>
      <c r="BQ622" s="445" t="s">
        <v>1269</v>
      </c>
      <c r="BR622" s="445"/>
      <c r="BS622" s="445"/>
      <c r="BT622" s="445"/>
      <c r="BU622" s="445"/>
      <c r="BV622" s="445"/>
      <c r="BW622" s="445" t="s">
        <v>2525</v>
      </c>
      <c r="BX622" s="445"/>
      <c r="BY622" s="445"/>
    </row>
    <row r="623" spans="1:77" ht="15">
      <c r="A623" s="370" t="s">
        <v>1269</v>
      </c>
      <c r="B623" s="415" t="s">
        <v>296</v>
      </c>
      <c r="C623" s="416" t="s">
        <v>1682</v>
      </c>
      <c r="D623" s="444">
        <v>0</v>
      </c>
      <c r="E623" s="415" t="s">
        <v>1716</v>
      </c>
      <c r="F623" s="444">
        <v>3</v>
      </c>
      <c r="G623" s="415" t="s">
        <v>1661</v>
      </c>
      <c r="H623" s="444">
        <v>110</v>
      </c>
      <c r="I623" s="417" t="s">
        <v>1422</v>
      </c>
      <c r="J623" s="444">
        <v>8.1999999999999993</v>
      </c>
      <c r="K623" s="444">
        <v>398</v>
      </c>
      <c r="L623" s="444">
        <v>0</v>
      </c>
      <c r="M623" s="444">
        <v>0</v>
      </c>
      <c r="N623" s="444">
        <v>6</v>
      </c>
      <c r="O623" s="444">
        <v>0</v>
      </c>
      <c r="P623" s="444">
        <v>0</v>
      </c>
      <c r="Q623" s="444">
        <v>0</v>
      </c>
      <c r="R623" s="444">
        <v>0</v>
      </c>
      <c r="S623" s="444">
        <v>0</v>
      </c>
      <c r="T623" s="444">
        <v>0</v>
      </c>
      <c r="U623" s="444">
        <v>72</v>
      </c>
      <c r="V623" s="444">
        <v>5</v>
      </c>
      <c r="W623" s="444">
        <v>62</v>
      </c>
      <c r="X623" s="418"/>
      <c r="Y623" s="445"/>
      <c r="Z623" s="420"/>
      <c r="AA623" s="421">
        <v>91.07</v>
      </c>
      <c r="AB623" s="421">
        <v>29.978000000000002</v>
      </c>
      <c r="AC623" s="454">
        <v>17</v>
      </c>
      <c r="AE623" s="445" t="s">
        <v>2532</v>
      </c>
      <c r="AF623" s="454">
        <v>1</v>
      </c>
      <c r="AG623" s="441">
        <v>43101</v>
      </c>
      <c r="AJ623" s="442">
        <v>43413</v>
      </c>
      <c r="AL623" s="446" t="s">
        <v>1026</v>
      </c>
      <c r="AO623" s="445"/>
      <c r="AP623" s="454">
        <v>556697</v>
      </c>
      <c r="AQ623" s="443">
        <v>43413</v>
      </c>
      <c r="AT623" s="447"/>
      <c r="AU623" s="447"/>
      <c r="AV623" s="447"/>
      <c r="AY623" s="427" t="s">
        <v>1722</v>
      </c>
      <c r="AZ623" s="373"/>
      <c r="BB623" s="374" t="s">
        <v>1728</v>
      </c>
      <c r="BC623" s="445"/>
      <c r="BE623" s="448">
        <v>0</v>
      </c>
      <c r="BF623" s="449">
        <v>0</v>
      </c>
      <c r="BG623" s="450" t="s">
        <v>1764</v>
      </c>
      <c r="BH623" s="445"/>
      <c r="BI623" s="491"/>
      <c r="BJ623" s="491">
        <v>4</v>
      </c>
      <c r="BK623" s="445" t="s">
        <v>3395</v>
      </c>
      <c r="BL623" s="445" t="s">
        <v>3396</v>
      </c>
      <c r="BM623" s="445"/>
      <c r="BN623" s="445" t="s">
        <v>1765</v>
      </c>
      <c r="BO623" s="445" t="s">
        <v>1765</v>
      </c>
      <c r="BP623" s="445" t="s">
        <v>1765</v>
      </c>
      <c r="BQ623" s="445" t="s">
        <v>1269</v>
      </c>
      <c r="BR623" s="445"/>
      <c r="BS623" s="445"/>
      <c r="BT623" s="445"/>
      <c r="BU623" s="445"/>
      <c r="BV623" s="445"/>
      <c r="BW623" s="445" t="s">
        <v>2525</v>
      </c>
      <c r="BX623" s="445"/>
      <c r="BY623" s="445"/>
    </row>
    <row r="624" spans="1:77" ht="15">
      <c r="A624" s="370" t="s">
        <v>1269</v>
      </c>
      <c r="B624" s="415" t="s">
        <v>296</v>
      </c>
      <c r="C624" s="416" t="s">
        <v>1682</v>
      </c>
      <c r="D624" s="444">
        <v>0</v>
      </c>
      <c r="E624" s="415" t="s">
        <v>1716</v>
      </c>
      <c r="F624" s="444">
        <v>3</v>
      </c>
      <c r="G624" s="415" t="s">
        <v>1661</v>
      </c>
      <c r="H624" s="444">
        <v>132</v>
      </c>
      <c r="I624" s="417" t="s">
        <v>1692</v>
      </c>
      <c r="J624" s="444">
        <v>4.9000000000000004</v>
      </c>
      <c r="K624" s="444">
        <v>244</v>
      </c>
      <c r="L624" s="444">
        <v>0</v>
      </c>
      <c r="M624" s="444">
        <v>0</v>
      </c>
      <c r="N624" s="444">
        <v>12</v>
      </c>
      <c r="O624" s="444">
        <v>0</v>
      </c>
      <c r="P624" s="444">
        <v>0</v>
      </c>
      <c r="Q624" s="444">
        <v>0</v>
      </c>
      <c r="R624" s="444">
        <v>0</v>
      </c>
      <c r="S624" s="444">
        <v>0</v>
      </c>
      <c r="T624" s="444">
        <v>0</v>
      </c>
      <c r="U624" s="444">
        <v>25</v>
      </c>
      <c r="V624" s="444">
        <v>14</v>
      </c>
      <c r="W624" s="444">
        <v>117</v>
      </c>
      <c r="X624" s="418"/>
      <c r="Y624" s="445"/>
      <c r="Z624" s="420"/>
      <c r="AA624" s="421">
        <v>71.614999999999995</v>
      </c>
      <c r="AB624" s="421">
        <v>29.978000000000002</v>
      </c>
      <c r="AC624" s="454">
        <v>13</v>
      </c>
      <c r="AE624" s="445" t="s">
        <v>2533</v>
      </c>
      <c r="AF624" s="454">
        <v>1</v>
      </c>
      <c r="AG624" s="441">
        <v>43101</v>
      </c>
      <c r="AJ624" s="442">
        <v>43413</v>
      </c>
      <c r="AL624" s="446" t="s">
        <v>1026</v>
      </c>
      <c r="AO624" s="445"/>
      <c r="AP624" s="454">
        <v>556697</v>
      </c>
      <c r="AQ624" s="443">
        <v>43413</v>
      </c>
      <c r="AT624" s="447"/>
      <c r="AU624" s="447"/>
      <c r="AV624" s="447"/>
      <c r="AY624" s="427" t="s">
        <v>1722</v>
      </c>
      <c r="AZ624" s="373"/>
      <c r="BB624" s="374" t="s">
        <v>1728</v>
      </c>
      <c r="BC624" s="445"/>
      <c r="BE624" s="448">
        <v>0</v>
      </c>
      <c r="BF624" s="449">
        <v>0</v>
      </c>
      <c r="BG624" s="450" t="s">
        <v>1764</v>
      </c>
      <c r="BH624" s="445"/>
      <c r="BI624" s="491"/>
      <c r="BJ624" s="491">
        <v>5</v>
      </c>
      <c r="BK624" s="445" t="s">
        <v>3397</v>
      </c>
      <c r="BL624" s="445" t="s">
        <v>3398</v>
      </c>
      <c r="BM624" s="445"/>
      <c r="BN624" s="445" t="s">
        <v>1765</v>
      </c>
      <c r="BO624" s="445" t="s">
        <v>1765</v>
      </c>
      <c r="BP624" s="445" t="s">
        <v>1765</v>
      </c>
      <c r="BQ624" s="445" t="s">
        <v>1269</v>
      </c>
      <c r="BR624" s="445"/>
      <c r="BS624" s="445"/>
      <c r="BT624" s="445"/>
      <c r="BU624" s="445"/>
      <c r="BV624" s="445"/>
      <c r="BW624" s="445" t="s">
        <v>2525</v>
      </c>
      <c r="BX624" s="445"/>
      <c r="BY624" s="445"/>
    </row>
    <row r="625" spans="1:77" ht="15">
      <c r="A625" s="370" t="s">
        <v>1269</v>
      </c>
      <c r="B625" s="415" t="s">
        <v>132</v>
      </c>
      <c r="C625" s="416" t="s">
        <v>1682</v>
      </c>
      <c r="D625" s="444">
        <v>0</v>
      </c>
      <c r="E625" s="415" t="s">
        <v>1716</v>
      </c>
      <c r="F625" s="444">
        <v>3</v>
      </c>
      <c r="G625" s="415" t="s">
        <v>1661</v>
      </c>
      <c r="H625" s="444">
        <v>1</v>
      </c>
      <c r="I625" s="417" t="s">
        <v>1683</v>
      </c>
      <c r="J625" s="444">
        <v>4.0999999999999996</v>
      </c>
      <c r="K625" s="444">
        <v>162</v>
      </c>
      <c r="L625" s="444">
        <v>0</v>
      </c>
      <c r="M625" s="444">
        <v>0</v>
      </c>
      <c r="N625" s="444">
        <v>7</v>
      </c>
      <c r="O625" s="444">
        <v>0</v>
      </c>
      <c r="P625" s="444">
        <v>0</v>
      </c>
      <c r="Q625" s="444">
        <v>0</v>
      </c>
      <c r="R625" s="444">
        <v>0</v>
      </c>
      <c r="S625" s="444">
        <v>0</v>
      </c>
      <c r="T625" s="444">
        <v>0</v>
      </c>
      <c r="U625" s="444">
        <v>0</v>
      </c>
      <c r="V625" s="444">
        <v>0</v>
      </c>
      <c r="W625" s="444">
        <v>105</v>
      </c>
      <c r="X625" s="418"/>
      <c r="Y625" s="445"/>
      <c r="Z625" s="420"/>
      <c r="AA625" s="421">
        <v>71.504000000000005</v>
      </c>
      <c r="AB625" s="421">
        <v>29.978000000000002</v>
      </c>
      <c r="AC625" s="454">
        <v>6</v>
      </c>
      <c r="AE625" s="445" t="s">
        <v>2534</v>
      </c>
      <c r="AF625" s="454">
        <v>1</v>
      </c>
      <c r="AG625" s="441">
        <v>43101</v>
      </c>
      <c r="AJ625" s="442">
        <v>43419</v>
      </c>
      <c r="AL625" s="446" t="s">
        <v>926</v>
      </c>
      <c r="AO625" s="445"/>
      <c r="AP625" s="454">
        <v>556698</v>
      </c>
      <c r="AQ625" s="443">
        <v>43419</v>
      </c>
      <c r="AT625" s="447"/>
      <c r="AU625" s="447"/>
      <c r="AV625" s="447"/>
      <c r="AY625" s="427" t="s">
        <v>1559</v>
      </c>
      <c r="AZ625" s="373"/>
      <c r="BB625" s="374" t="s">
        <v>2214</v>
      </c>
      <c r="BC625" s="445"/>
      <c r="BE625" s="448">
        <v>0</v>
      </c>
      <c r="BF625" s="449">
        <v>0</v>
      </c>
      <c r="BG625" s="450" t="s">
        <v>1764</v>
      </c>
      <c r="BH625" s="445"/>
      <c r="BI625" s="491"/>
      <c r="BJ625" s="491">
        <v>5</v>
      </c>
      <c r="BK625" s="445" t="s">
        <v>3399</v>
      </c>
      <c r="BL625" s="445" t="s">
        <v>3400</v>
      </c>
      <c r="BM625" s="445"/>
      <c r="BN625" s="445" t="s">
        <v>1765</v>
      </c>
      <c r="BO625" s="445" t="s">
        <v>1765</v>
      </c>
      <c r="BP625" s="445" t="s">
        <v>1765</v>
      </c>
      <c r="BQ625" s="445" t="s">
        <v>1269</v>
      </c>
      <c r="BR625" s="445"/>
      <c r="BS625" s="445"/>
      <c r="BT625" s="445"/>
      <c r="BU625" s="445"/>
      <c r="BV625" s="445"/>
      <c r="BW625" s="445" t="s">
        <v>2525</v>
      </c>
      <c r="BX625" s="445"/>
      <c r="BY625" s="445"/>
    </row>
    <row r="626" spans="1:77" ht="15">
      <c r="A626" s="370" t="s">
        <v>1269</v>
      </c>
      <c r="B626" s="415" t="s">
        <v>132</v>
      </c>
      <c r="C626" s="416" t="s">
        <v>1682</v>
      </c>
      <c r="D626" s="444">
        <v>0</v>
      </c>
      <c r="E626" s="415" t="s">
        <v>1716</v>
      </c>
      <c r="F626" s="444">
        <v>3</v>
      </c>
      <c r="G626" s="415" t="s">
        <v>1661</v>
      </c>
      <c r="H626" s="444">
        <v>47</v>
      </c>
      <c r="I626" s="417" t="s">
        <v>2535</v>
      </c>
      <c r="J626" s="444">
        <v>1.7</v>
      </c>
      <c r="K626" s="444">
        <v>146</v>
      </c>
      <c r="L626" s="444">
        <v>0</v>
      </c>
      <c r="M626" s="444">
        <v>0</v>
      </c>
      <c r="N626" s="444">
        <v>0</v>
      </c>
      <c r="O626" s="444">
        <v>0</v>
      </c>
      <c r="P626" s="444">
        <v>0</v>
      </c>
      <c r="Q626" s="444">
        <v>0</v>
      </c>
      <c r="R626" s="444">
        <v>0</v>
      </c>
      <c r="S626" s="444">
        <v>0</v>
      </c>
      <c r="T626" s="444">
        <v>0</v>
      </c>
      <c r="U626" s="444">
        <v>0</v>
      </c>
      <c r="V626" s="444">
        <v>0</v>
      </c>
      <c r="W626" s="444">
        <v>69</v>
      </c>
      <c r="X626" s="418"/>
      <c r="Y626" s="445"/>
      <c r="Z626" s="420"/>
      <c r="AA626" s="421">
        <v>80.313999999999993</v>
      </c>
      <c r="AB626" s="421">
        <v>29.978000000000002</v>
      </c>
      <c r="AC626" s="454">
        <v>5</v>
      </c>
      <c r="AE626" s="445" t="s">
        <v>2536</v>
      </c>
      <c r="AF626" s="454">
        <v>1</v>
      </c>
      <c r="AG626" s="441">
        <v>43101</v>
      </c>
      <c r="AJ626" s="442">
        <v>43419</v>
      </c>
      <c r="AL626" s="446" t="s">
        <v>1012</v>
      </c>
      <c r="AO626" s="445"/>
      <c r="AP626" s="454">
        <v>556698</v>
      </c>
      <c r="AQ626" s="443">
        <v>43419</v>
      </c>
      <c r="AT626" s="447"/>
      <c r="AU626" s="447"/>
      <c r="AV626" s="447"/>
      <c r="AY626" s="427" t="s">
        <v>1559</v>
      </c>
      <c r="AZ626" s="373"/>
      <c r="BB626" s="374" t="s">
        <v>2214</v>
      </c>
      <c r="BC626" s="445"/>
      <c r="BE626" s="448">
        <v>0</v>
      </c>
      <c r="BF626" s="449">
        <v>0</v>
      </c>
      <c r="BG626" s="450" t="s">
        <v>1764</v>
      </c>
      <c r="BH626" s="445"/>
      <c r="BI626" s="491"/>
      <c r="BJ626" s="491">
        <v>6</v>
      </c>
      <c r="BK626" s="445" t="s">
        <v>3401</v>
      </c>
      <c r="BL626" s="445" t="s">
        <v>3402</v>
      </c>
      <c r="BM626" s="445"/>
      <c r="BN626" s="445" t="s">
        <v>1765</v>
      </c>
      <c r="BO626" s="445" t="s">
        <v>1765</v>
      </c>
      <c r="BP626" s="445" t="s">
        <v>1765</v>
      </c>
      <c r="BQ626" s="445" t="s">
        <v>1269</v>
      </c>
      <c r="BR626" s="445"/>
      <c r="BS626" s="445"/>
      <c r="BT626" s="445"/>
      <c r="BU626" s="445"/>
      <c r="BV626" s="445"/>
      <c r="BW626" s="445" t="s">
        <v>2525</v>
      </c>
      <c r="BX626" s="445"/>
      <c r="BY626" s="445"/>
    </row>
    <row r="627" spans="1:77" ht="15">
      <c r="A627" s="370" t="s">
        <v>1269</v>
      </c>
      <c r="B627" s="415" t="s">
        <v>132</v>
      </c>
      <c r="C627" s="416" t="s">
        <v>1682</v>
      </c>
      <c r="D627" s="444">
        <v>0</v>
      </c>
      <c r="E627" s="415" t="s">
        <v>1716</v>
      </c>
      <c r="F627" s="444">
        <v>3</v>
      </c>
      <c r="G627" s="415" t="s">
        <v>1661</v>
      </c>
      <c r="H627" s="444">
        <v>81</v>
      </c>
      <c r="I627" s="417" t="s">
        <v>1428</v>
      </c>
      <c r="J627" s="444">
        <v>2</v>
      </c>
      <c r="K627" s="444">
        <v>141</v>
      </c>
      <c r="L627" s="444">
        <v>0</v>
      </c>
      <c r="M627" s="444">
        <v>0</v>
      </c>
      <c r="N627" s="444">
        <v>0</v>
      </c>
      <c r="O627" s="444">
        <v>0</v>
      </c>
      <c r="P627" s="444">
        <v>0</v>
      </c>
      <c r="Q627" s="444">
        <v>0</v>
      </c>
      <c r="R627" s="444">
        <v>0</v>
      </c>
      <c r="S627" s="444">
        <v>0</v>
      </c>
      <c r="T627" s="444">
        <v>0</v>
      </c>
      <c r="U627" s="444">
        <v>0</v>
      </c>
      <c r="V627" s="444">
        <v>0</v>
      </c>
      <c r="W627" s="444">
        <v>24</v>
      </c>
      <c r="X627" s="418"/>
      <c r="Y627" s="445"/>
      <c r="Z627" s="420"/>
      <c r="AA627" s="421">
        <v>123.32</v>
      </c>
      <c r="AB627" s="421">
        <v>29.978000000000002</v>
      </c>
      <c r="AC627" s="454">
        <v>3</v>
      </c>
      <c r="AE627" s="445" t="s">
        <v>2537</v>
      </c>
      <c r="AF627" s="454">
        <v>1</v>
      </c>
      <c r="AG627" s="441">
        <v>43101</v>
      </c>
      <c r="AJ627" s="442">
        <v>43419</v>
      </c>
      <c r="AL627" s="446" t="s">
        <v>916</v>
      </c>
      <c r="AO627" s="445"/>
      <c r="AP627" s="454">
        <v>556698</v>
      </c>
      <c r="AQ627" s="443">
        <v>43419</v>
      </c>
      <c r="AT627" s="447"/>
      <c r="AU627" s="447"/>
      <c r="AV627" s="447"/>
      <c r="AY627" s="427" t="s">
        <v>1559</v>
      </c>
      <c r="AZ627" s="373"/>
      <c r="BB627" s="374" t="s">
        <v>2214</v>
      </c>
      <c r="BC627" s="445"/>
      <c r="BE627" s="448">
        <v>0</v>
      </c>
      <c r="BF627" s="449">
        <v>0</v>
      </c>
      <c r="BG627" s="450" t="s">
        <v>1764</v>
      </c>
      <c r="BH627" s="445"/>
      <c r="BI627" s="491"/>
      <c r="BJ627" s="491">
        <v>7</v>
      </c>
      <c r="BK627" s="445" t="s">
        <v>3403</v>
      </c>
      <c r="BL627" s="445" t="s">
        <v>3404</v>
      </c>
      <c r="BM627" s="445"/>
      <c r="BN627" s="445" t="s">
        <v>1765</v>
      </c>
      <c r="BO627" s="445" t="s">
        <v>1765</v>
      </c>
      <c r="BP627" s="445" t="s">
        <v>1765</v>
      </c>
      <c r="BQ627" s="445" t="s">
        <v>1269</v>
      </c>
      <c r="BR627" s="445"/>
      <c r="BS627" s="445"/>
      <c r="BT627" s="445"/>
      <c r="BU627" s="445"/>
      <c r="BV627" s="445"/>
      <c r="BW627" s="445" t="s">
        <v>2525</v>
      </c>
      <c r="BX627" s="445"/>
      <c r="BY627" s="445"/>
    </row>
    <row r="628" spans="1:77" ht="15">
      <c r="A628" s="370" t="s">
        <v>1269</v>
      </c>
      <c r="B628" s="415" t="s">
        <v>19</v>
      </c>
      <c r="C628" s="416" t="s">
        <v>1682</v>
      </c>
      <c r="D628" s="444">
        <v>0</v>
      </c>
      <c r="E628" s="415" t="s">
        <v>1716</v>
      </c>
      <c r="F628" s="444">
        <v>3</v>
      </c>
      <c r="G628" s="415" t="s">
        <v>1661</v>
      </c>
      <c r="H628" s="444">
        <v>17</v>
      </c>
      <c r="I628" s="417" t="s">
        <v>1660</v>
      </c>
      <c r="J628" s="444">
        <v>4.4000000000000004</v>
      </c>
      <c r="K628" s="444">
        <v>611</v>
      </c>
      <c r="L628" s="444">
        <v>0</v>
      </c>
      <c r="M628" s="444">
        <v>0</v>
      </c>
      <c r="N628" s="444">
        <v>5</v>
      </c>
      <c r="O628" s="444">
        <v>0</v>
      </c>
      <c r="P628" s="444">
        <v>0</v>
      </c>
      <c r="Q628" s="444">
        <v>0</v>
      </c>
      <c r="R628" s="444">
        <v>0</v>
      </c>
      <c r="S628" s="444">
        <v>0</v>
      </c>
      <c r="T628" s="444">
        <v>0</v>
      </c>
      <c r="U628" s="444">
        <v>0</v>
      </c>
      <c r="V628" s="444">
        <v>0</v>
      </c>
      <c r="W628" s="444">
        <v>227</v>
      </c>
      <c r="X628" s="418"/>
      <c r="Y628" s="445"/>
      <c r="Z628" s="420"/>
      <c r="AA628" s="421">
        <v>83.381</v>
      </c>
      <c r="AB628" s="421">
        <v>29.978000000000002</v>
      </c>
      <c r="AC628" s="454">
        <v>22</v>
      </c>
      <c r="AE628" s="445" t="s">
        <v>2538</v>
      </c>
      <c r="AF628" s="454">
        <v>1</v>
      </c>
      <c r="AG628" s="441">
        <v>43101</v>
      </c>
      <c r="AJ628" s="442">
        <v>43430</v>
      </c>
      <c r="AL628" s="446" t="s">
        <v>999</v>
      </c>
      <c r="AO628" s="445"/>
      <c r="AP628" s="454">
        <v>98</v>
      </c>
      <c r="AQ628" s="443">
        <v>43430</v>
      </c>
      <c r="AT628" s="447"/>
      <c r="AU628" s="447"/>
      <c r="AV628" s="447"/>
      <c r="AY628" s="427" t="s">
        <v>1559</v>
      </c>
      <c r="AZ628" s="373"/>
      <c r="BB628" s="374" t="s">
        <v>2214</v>
      </c>
      <c r="BC628" s="445"/>
      <c r="BE628" s="448">
        <v>0</v>
      </c>
      <c r="BF628" s="449">
        <v>0</v>
      </c>
      <c r="BG628" s="450" t="s">
        <v>1764</v>
      </c>
      <c r="BH628" s="445"/>
      <c r="BI628" s="491"/>
      <c r="BJ628" s="491">
        <v>2</v>
      </c>
      <c r="BK628" s="445" t="s">
        <v>3405</v>
      </c>
      <c r="BL628" s="445" t="s">
        <v>3406</v>
      </c>
      <c r="BM628" s="445"/>
      <c r="BN628" s="445" t="s">
        <v>1765</v>
      </c>
      <c r="BO628" s="445" t="s">
        <v>1765</v>
      </c>
      <c r="BP628" s="445" t="s">
        <v>1765</v>
      </c>
      <c r="BQ628" s="445" t="s">
        <v>1269</v>
      </c>
      <c r="BR628" s="445"/>
      <c r="BS628" s="445"/>
      <c r="BT628" s="445"/>
      <c r="BU628" s="445"/>
      <c r="BV628" s="445"/>
      <c r="BW628" s="445" t="s">
        <v>2525</v>
      </c>
      <c r="BX628" s="445"/>
      <c r="BY628" s="445"/>
    </row>
    <row r="629" spans="1:77" ht="15">
      <c r="A629" s="370" t="s">
        <v>1269</v>
      </c>
      <c r="B629" s="415" t="s">
        <v>19</v>
      </c>
      <c r="C629" s="416" t="s">
        <v>1682</v>
      </c>
      <c r="D629" s="444">
        <v>0</v>
      </c>
      <c r="E629" s="415" t="s">
        <v>1716</v>
      </c>
      <c r="F629" s="444">
        <v>3</v>
      </c>
      <c r="G629" s="415" t="s">
        <v>1661</v>
      </c>
      <c r="H629" s="444">
        <v>71</v>
      </c>
      <c r="I629" s="417" t="s">
        <v>1683</v>
      </c>
      <c r="J629" s="444">
        <v>15.4</v>
      </c>
      <c r="K629" s="444">
        <v>715</v>
      </c>
      <c r="L629" s="444">
        <v>0</v>
      </c>
      <c r="M629" s="444">
        <v>1</v>
      </c>
      <c r="N629" s="444">
        <v>23</v>
      </c>
      <c r="O629" s="444">
        <v>0</v>
      </c>
      <c r="P629" s="444">
        <v>0</v>
      </c>
      <c r="Q629" s="444">
        <v>0</v>
      </c>
      <c r="R629" s="444">
        <v>0</v>
      </c>
      <c r="S629" s="444">
        <v>0</v>
      </c>
      <c r="T629" s="444">
        <v>0</v>
      </c>
      <c r="U629" s="444">
        <v>0</v>
      </c>
      <c r="V629" s="444">
        <v>8</v>
      </c>
      <c r="W629" s="444">
        <v>239</v>
      </c>
      <c r="X629" s="418"/>
      <c r="Y629" s="445"/>
      <c r="Z629" s="420"/>
      <c r="AA629" s="421">
        <v>85.778999999999996</v>
      </c>
      <c r="AB629" s="421">
        <v>29.978000000000002</v>
      </c>
      <c r="AC629" s="454">
        <v>32</v>
      </c>
      <c r="AE629" s="445" t="s">
        <v>2539</v>
      </c>
      <c r="AF629" s="454">
        <v>1</v>
      </c>
      <c r="AG629" s="441">
        <v>43101</v>
      </c>
      <c r="AJ629" s="442">
        <v>43430</v>
      </c>
      <c r="AL629" s="446" t="s">
        <v>1037</v>
      </c>
      <c r="AO629" s="445"/>
      <c r="AP629" s="454">
        <v>98</v>
      </c>
      <c r="AQ629" s="443">
        <v>43430</v>
      </c>
      <c r="AT629" s="447"/>
      <c r="AU629" s="447"/>
      <c r="AV629" s="447"/>
      <c r="AY629" s="427" t="s">
        <v>1559</v>
      </c>
      <c r="AZ629" s="373"/>
      <c r="BB629" s="374" t="s">
        <v>2214</v>
      </c>
      <c r="BC629" s="445"/>
      <c r="BE629" s="448">
        <v>0</v>
      </c>
      <c r="BF629" s="449">
        <v>0</v>
      </c>
      <c r="BG629" s="450" t="s">
        <v>1764</v>
      </c>
      <c r="BH629" s="445"/>
      <c r="BI629" s="491"/>
      <c r="BJ629" s="491">
        <v>3</v>
      </c>
      <c r="BK629" s="445" t="s">
        <v>257</v>
      </c>
      <c r="BL629" s="445" t="s">
        <v>3407</v>
      </c>
      <c r="BM629" s="445"/>
      <c r="BN629" s="445" t="s">
        <v>1765</v>
      </c>
      <c r="BO629" s="445" t="s">
        <v>1765</v>
      </c>
      <c r="BP629" s="445" t="s">
        <v>1765</v>
      </c>
      <c r="BQ629" s="445" t="s">
        <v>1269</v>
      </c>
      <c r="BR629" s="445"/>
      <c r="BS629" s="445"/>
      <c r="BT629" s="445"/>
      <c r="BU629" s="445"/>
      <c r="BV629" s="445"/>
      <c r="BW629" s="445" t="s">
        <v>2525</v>
      </c>
      <c r="BX629" s="445"/>
      <c r="BY629" s="445"/>
    </row>
    <row r="630" spans="1:77" ht="15">
      <c r="A630" s="370" t="s">
        <v>1269</v>
      </c>
      <c r="B630" s="415" t="s">
        <v>177</v>
      </c>
      <c r="C630" s="416" t="s">
        <v>1682</v>
      </c>
      <c r="D630" s="444">
        <v>0</v>
      </c>
      <c r="E630" s="415" t="s">
        <v>1716</v>
      </c>
      <c r="F630" s="444">
        <v>3</v>
      </c>
      <c r="G630" s="415" t="s">
        <v>1661</v>
      </c>
      <c r="H630" s="444">
        <v>39</v>
      </c>
      <c r="I630" s="417" t="s">
        <v>1683</v>
      </c>
      <c r="J630" s="444">
        <v>3.2</v>
      </c>
      <c r="K630" s="444">
        <v>158</v>
      </c>
      <c r="L630" s="444">
        <v>0</v>
      </c>
      <c r="M630" s="444">
        <v>0</v>
      </c>
      <c r="N630" s="444">
        <v>0</v>
      </c>
      <c r="O630" s="444">
        <v>0</v>
      </c>
      <c r="P630" s="444">
        <v>0</v>
      </c>
      <c r="Q630" s="444">
        <v>0</v>
      </c>
      <c r="R630" s="444">
        <v>0</v>
      </c>
      <c r="S630" s="444">
        <v>24</v>
      </c>
      <c r="T630" s="444">
        <v>1</v>
      </c>
      <c r="U630" s="444">
        <v>0</v>
      </c>
      <c r="V630" s="444">
        <v>1</v>
      </c>
      <c r="W630" s="444">
        <v>0</v>
      </c>
      <c r="X630" s="418"/>
      <c r="Y630" s="445"/>
      <c r="Z630" s="420"/>
      <c r="AA630" s="421">
        <v>124.652</v>
      </c>
      <c r="AB630" s="421">
        <v>29.978000000000002</v>
      </c>
      <c r="AC630" s="454">
        <v>3</v>
      </c>
      <c r="AE630" s="445" t="s">
        <v>2540</v>
      </c>
      <c r="AF630" s="454">
        <v>1</v>
      </c>
      <c r="AG630" s="441">
        <v>43101</v>
      </c>
      <c r="AJ630" s="442">
        <v>43430</v>
      </c>
      <c r="AL630" s="446" t="s">
        <v>999</v>
      </c>
      <c r="AO630" s="445"/>
      <c r="AP630" s="454">
        <v>98</v>
      </c>
      <c r="AQ630" s="443">
        <v>43430</v>
      </c>
      <c r="AT630" s="447"/>
      <c r="AU630" s="447"/>
      <c r="AV630" s="447"/>
      <c r="AY630" s="427" t="s">
        <v>1717</v>
      </c>
      <c r="AZ630" s="373"/>
      <c r="BB630" s="374" t="s">
        <v>1727</v>
      </c>
      <c r="BC630" s="445"/>
      <c r="BE630" s="448">
        <v>0</v>
      </c>
      <c r="BF630" s="449">
        <v>0</v>
      </c>
      <c r="BG630" s="450" t="s">
        <v>1764</v>
      </c>
      <c r="BH630" s="445"/>
      <c r="BI630" s="491"/>
      <c r="BJ630" s="491">
        <v>1</v>
      </c>
      <c r="BK630" s="445" t="s">
        <v>3408</v>
      </c>
      <c r="BL630" s="445" t="s">
        <v>3409</v>
      </c>
      <c r="BM630" s="445"/>
      <c r="BN630" s="445" t="s">
        <v>1765</v>
      </c>
      <c r="BO630" s="445" t="s">
        <v>1765</v>
      </c>
      <c r="BP630" s="445" t="s">
        <v>1765</v>
      </c>
      <c r="BQ630" s="445" t="s">
        <v>1269</v>
      </c>
      <c r="BR630" s="445"/>
      <c r="BS630" s="445"/>
      <c r="BT630" s="445"/>
      <c r="BU630" s="445"/>
      <c r="BV630" s="445"/>
      <c r="BW630" s="445" t="s">
        <v>2525</v>
      </c>
      <c r="BX630" s="445"/>
      <c r="BY630" s="445"/>
    </row>
    <row r="631" spans="1:77" ht="15">
      <c r="A631" s="370" t="s">
        <v>1269</v>
      </c>
      <c r="B631" s="415" t="s">
        <v>177</v>
      </c>
      <c r="C631" s="416" t="s">
        <v>1682</v>
      </c>
      <c r="D631" s="444">
        <v>0</v>
      </c>
      <c r="E631" s="415" t="s">
        <v>1716</v>
      </c>
      <c r="F631" s="444">
        <v>3</v>
      </c>
      <c r="G631" s="415" t="s">
        <v>1661</v>
      </c>
      <c r="H631" s="444">
        <v>47</v>
      </c>
      <c r="I631" s="417" t="s">
        <v>1664</v>
      </c>
      <c r="J631" s="444">
        <v>2.6</v>
      </c>
      <c r="K631" s="444">
        <v>132</v>
      </c>
      <c r="L631" s="444">
        <v>0</v>
      </c>
      <c r="M631" s="444">
        <v>1</v>
      </c>
      <c r="N631" s="444">
        <v>1</v>
      </c>
      <c r="O631" s="444">
        <v>0</v>
      </c>
      <c r="P631" s="444">
        <v>0</v>
      </c>
      <c r="Q631" s="444">
        <v>0</v>
      </c>
      <c r="R631" s="444">
        <v>27</v>
      </c>
      <c r="S631" s="444">
        <v>5</v>
      </c>
      <c r="T631" s="444">
        <v>9</v>
      </c>
      <c r="U631" s="444">
        <v>3</v>
      </c>
      <c r="V631" s="444">
        <v>0</v>
      </c>
      <c r="W631" s="444">
        <v>0</v>
      </c>
      <c r="X631" s="418"/>
      <c r="Y631" s="445"/>
      <c r="Z631" s="420"/>
      <c r="AA631" s="421">
        <v>96.69</v>
      </c>
      <c r="AB631" s="421">
        <v>29.978000000000002</v>
      </c>
      <c r="AC631" s="454">
        <v>6</v>
      </c>
      <c r="AE631" s="445" t="s">
        <v>2541</v>
      </c>
      <c r="AF631" s="454">
        <v>1</v>
      </c>
      <c r="AG631" s="441">
        <v>43101</v>
      </c>
      <c r="AJ631" s="442">
        <v>43411</v>
      </c>
      <c r="AL631" s="446" t="s">
        <v>920</v>
      </c>
      <c r="AO631" s="445"/>
      <c r="AP631" s="454">
        <v>556695</v>
      </c>
      <c r="AQ631" s="443">
        <v>43411</v>
      </c>
      <c r="AT631" s="447"/>
      <c r="AU631" s="447"/>
      <c r="AV631" s="447"/>
      <c r="AY631" s="427" t="s">
        <v>1717</v>
      </c>
      <c r="AZ631" s="373"/>
      <c r="BB631" s="374" t="s">
        <v>1727</v>
      </c>
      <c r="BC631" s="445"/>
      <c r="BE631" s="448">
        <v>0</v>
      </c>
      <c r="BF631" s="449">
        <v>0</v>
      </c>
      <c r="BG631" s="450" t="s">
        <v>1764</v>
      </c>
      <c r="BH631" s="445"/>
      <c r="BI631" s="491"/>
      <c r="BJ631" s="491">
        <v>2</v>
      </c>
      <c r="BK631" s="445" t="s">
        <v>192</v>
      </c>
      <c r="BL631" s="445" t="s">
        <v>3410</v>
      </c>
      <c r="BM631" s="445"/>
      <c r="BN631" s="445" t="s">
        <v>1765</v>
      </c>
      <c r="BO631" s="445" t="s">
        <v>1765</v>
      </c>
      <c r="BP631" s="445" t="s">
        <v>1765</v>
      </c>
      <c r="BQ631" s="445" t="s">
        <v>1269</v>
      </c>
      <c r="BR631" s="445"/>
      <c r="BS631" s="445"/>
      <c r="BT631" s="445"/>
      <c r="BU631" s="445"/>
      <c r="BV631" s="445"/>
      <c r="BW631" s="445" t="s">
        <v>2525</v>
      </c>
      <c r="BX631" s="445"/>
      <c r="BY631" s="445"/>
    </row>
    <row r="632" spans="1:77" ht="15">
      <c r="A632" s="370" t="s">
        <v>1269</v>
      </c>
      <c r="B632" s="415" t="s">
        <v>177</v>
      </c>
      <c r="C632" s="416" t="s">
        <v>1682</v>
      </c>
      <c r="D632" s="444">
        <v>0</v>
      </c>
      <c r="E632" s="415" t="s">
        <v>1716</v>
      </c>
      <c r="F632" s="444">
        <v>3</v>
      </c>
      <c r="G632" s="415" t="s">
        <v>1661</v>
      </c>
      <c r="H632" s="444">
        <v>77</v>
      </c>
      <c r="I632" s="417" t="s">
        <v>1687</v>
      </c>
      <c r="J632" s="444">
        <v>1.9</v>
      </c>
      <c r="K632" s="444">
        <v>80</v>
      </c>
      <c r="L632" s="444">
        <v>0</v>
      </c>
      <c r="M632" s="444">
        <v>0</v>
      </c>
      <c r="N632" s="444">
        <v>6</v>
      </c>
      <c r="O632" s="444">
        <v>0</v>
      </c>
      <c r="P632" s="444">
        <v>0</v>
      </c>
      <c r="Q632" s="444">
        <v>0</v>
      </c>
      <c r="R632" s="444">
        <v>1</v>
      </c>
      <c r="S632" s="444">
        <v>0</v>
      </c>
      <c r="T632" s="444">
        <v>25</v>
      </c>
      <c r="U632" s="444">
        <v>0</v>
      </c>
      <c r="V632" s="444">
        <v>0</v>
      </c>
      <c r="W632" s="444">
        <v>2</v>
      </c>
      <c r="X632" s="418"/>
      <c r="Y632" s="445"/>
      <c r="Z632" s="420"/>
      <c r="AA632" s="421">
        <v>79.385000000000005</v>
      </c>
      <c r="AB632" s="421">
        <v>29.978000000000002</v>
      </c>
      <c r="AC632" s="454">
        <v>3</v>
      </c>
      <c r="AE632" s="445" t="s">
        <v>2542</v>
      </c>
      <c r="AF632" s="454">
        <v>1</v>
      </c>
      <c r="AG632" s="441">
        <v>43101</v>
      </c>
      <c r="AJ632" s="442">
        <v>43411</v>
      </c>
      <c r="AL632" s="446" t="s">
        <v>1015</v>
      </c>
      <c r="AO632" s="445"/>
      <c r="AP632" s="454">
        <v>556695</v>
      </c>
      <c r="AQ632" s="443">
        <v>43411</v>
      </c>
      <c r="AT632" s="447"/>
      <c r="AU632" s="447"/>
      <c r="AV632" s="447"/>
      <c r="AY632" s="427" t="s">
        <v>1717</v>
      </c>
      <c r="AZ632" s="373"/>
      <c r="BB632" s="374" t="s">
        <v>1727</v>
      </c>
      <c r="BC632" s="445"/>
      <c r="BE632" s="448">
        <v>0</v>
      </c>
      <c r="BF632" s="449">
        <v>0</v>
      </c>
      <c r="BG632" s="450" t="s">
        <v>1764</v>
      </c>
      <c r="BH632" s="445"/>
      <c r="BI632" s="491"/>
      <c r="BJ632" s="491">
        <v>3</v>
      </c>
      <c r="BK632" s="445" t="s">
        <v>3411</v>
      </c>
      <c r="BL632" s="445" t="s">
        <v>3412</v>
      </c>
      <c r="BM632" s="445"/>
      <c r="BN632" s="445" t="s">
        <v>1765</v>
      </c>
      <c r="BO632" s="445" t="s">
        <v>1765</v>
      </c>
      <c r="BP632" s="445" t="s">
        <v>1765</v>
      </c>
      <c r="BQ632" s="445" t="s">
        <v>1269</v>
      </c>
      <c r="BR632" s="445"/>
      <c r="BS632" s="445"/>
      <c r="BT632" s="445"/>
      <c r="BU632" s="445"/>
      <c r="BV632" s="445"/>
      <c r="BW632" s="445" t="s">
        <v>2525</v>
      </c>
      <c r="BX632" s="445"/>
      <c r="BY632" s="445"/>
    </row>
    <row r="633" spans="1:77" ht="15">
      <c r="A633" s="370" t="s">
        <v>1269</v>
      </c>
      <c r="B633" s="415" t="s">
        <v>177</v>
      </c>
      <c r="C633" s="416" t="s">
        <v>1682</v>
      </c>
      <c r="D633" s="444">
        <v>0</v>
      </c>
      <c r="E633" s="415" t="s">
        <v>1716</v>
      </c>
      <c r="F633" s="444">
        <v>3</v>
      </c>
      <c r="G633" s="415" t="s">
        <v>1661</v>
      </c>
      <c r="H633" s="444">
        <v>40</v>
      </c>
      <c r="I633" s="417" t="s">
        <v>1660</v>
      </c>
      <c r="J633" s="444">
        <v>1.5</v>
      </c>
      <c r="K633" s="444">
        <v>36</v>
      </c>
      <c r="L633" s="444">
        <v>0</v>
      </c>
      <c r="M633" s="444">
        <v>0</v>
      </c>
      <c r="N633" s="444">
        <v>10</v>
      </c>
      <c r="O633" s="444">
        <v>0</v>
      </c>
      <c r="P633" s="444">
        <v>0</v>
      </c>
      <c r="Q633" s="444">
        <v>0</v>
      </c>
      <c r="R633" s="444">
        <v>0</v>
      </c>
      <c r="S633" s="444">
        <v>0</v>
      </c>
      <c r="T633" s="444">
        <v>25</v>
      </c>
      <c r="U633" s="444">
        <v>0</v>
      </c>
      <c r="V633" s="444">
        <v>0</v>
      </c>
      <c r="W633" s="444">
        <v>3</v>
      </c>
      <c r="X633" s="418"/>
      <c r="Y633" s="445"/>
      <c r="Z633" s="420"/>
      <c r="AA633" s="421">
        <v>58.482999999999997</v>
      </c>
      <c r="AB633" s="421">
        <v>29.978000000000002</v>
      </c>
      <c r="AC633" s="454">
        <v>2</v>
      </c>
      <c r="AE633" s="445" t="s">
        <v>2544</v>
      </c>
      <c r="AF633" s="454">
        <v>1</v>
      </c>
      <c r="AG633" s="441">
        <v>43101</v>
      </c>
      <c r="AJ633" s="442">
        <v>43430</v>
      </c>
      <c r="AL633" s="446" t="s">
        <v>1681</v>
      </c>
      <c r="AO633" s="445"/>
      <c r="AP633" s="454">
        <v>100</v>
      </c>
      <c r="AQ633" s="443">
        <v>43430</v>
      </c>
      <c r="AT633" s="447"/>
      <c r="AU633" s="447"/>
      <c r="AV633" s="447"/>
      <c r="AY633" s="427" t="s">
        <v>1717</v>
      </c>
      <c r="AZ633" s="373"/>
      <c r="BB633" s="374" t="s">
        <v>1727</v>
      </c>
      <c r="BC633" s="445"/>
      <c r="BE633" s="448">
        <v>0</v>
      </c>
      <c r="BF633" s="449">
        <v>0</v>
      </c>
      <c r="BG633" s="450" t="s">
        <v>1764</v>
      </c>
      <c r="BH633" s="445"/>
      <c r="BI633" s="491"/>
      <c r="BJ633" s="491">
        <v>6</v>
      </c>
      <c r="BK633" s="445" t="s">
        <v>3413</v>
      </c>
      <c r="BL633" s="445" t="s">
        <v>3414</v>
      </c>
      <c r="BM633" s="445"/>
      <c r="BN633" s="445" t="s">
        <v>1765</v>
      </c>
      <c r="BO633" s="445" t="s">
        <v>1765</v>
      </c>
      <c r="BP633" s="445" t="s">
        <v>1765</v>
      </c>
      <c r="BQ633" s="445" t="s">
        <v>1269</v>
      </c>
      <c r="BR633" s="445"/>
      <c r="BS633" s="445"/>
      <c r="BT633" s="445"/>
      <c r="BU633" s="445"/>
      <c r="BV633" s="445"/>
      <c r="BW633" s="445" t="s">
        <v>2525</v>
      </c>
      <c r="BX633" s="445"/>
      <c r="BY633" s="445"/>
    </row>
    <row r="634" spans="1:77" ht="15">
      <c r="A634" s="370" t="s">
        <v>1269</v>
      </c>
      <c r="B634" s="415" t="s">
        <v>177</v>
      </c>
      <c r="C634" s="416" t="s">
        <v>1682</v>
      </c>
      <c r="D634" s="444">
        <v>0</v>
      </c>
      <c r="E634" s="415" t="s">
        <v>1716</v>
      </c>
      <c r="F634" s="444">
        <v>3</v>
      </c>
      <c r="G634" s="415" t="s">
        <v>1661</v>
      </c>
      <c r="H634" s="444">
        <v>70</v>
      </c>
      <c r="I634" s="417" t="s">
        <v>1687</v>
      </c>
      <c r="J634" s="444">
        <v>2.8</v>
      </c>
      <c r="K634" s="444">
        <v>118</v>
      </c>
      <c r="L634" s="444">
        <v>0</v>
      </c>
      <c r="M634" s="444">
        <v>0</v>
      </c>
      <c r="N634" s="444">
        <v>8</v>
      </c>
      <c r="O634" s="444">
        <v>0</v>
      </c>
      <c r="P634" s="444">
        <v>0</v>
      </c>
      <c r="Q634" s="444">
        <v>0</v>
      </c>
      <c r="R634" s="444">
        <v>0</v>
      </c>
      <c r="S634" s="444">
        <v>0</v>
      </c>
      <c r="T634" s="444">
        <v>36</v>
      </c>
      <c r="U634" s="444">
        <v>0</v>
      </c>
      <c r="V634" s="444">
        <v>0</v>
      </c>
      <c r="W634" s="444">
        <v>3</v>
      </c>
      <c r="X634" s="418"/>
      <c r="Y634" s="445"/>
      <c r="Z634" s="420"/>
      <c r="AA634" s="421">
        <v>83.896000000000001</v>
      </c>
      <c r="AB634" s="421">
        <v>29.978000000000002</v>
      </c>
      <c r="AC634" s="454">
        <v>3</v>
      </c>
      <c r="AE634" s="445" t="s">
        <v>2545</v>
      </c>
      <c r="AF634" s="454">
        <v>1</v>
      </c>
      <c r="AG634" s="441">
        <v>43101</v>
      </c>
      <c r="AJ634" s="442">
        <v>43430</v>
      </c>
      <c r="AL634" s="446" t="s">
        <v>1015</v>
      </c>
      <c r="AO634" s="445"/>
      <c r="AP634" s="454">
        <v>100</v>
      </c>
      <c r="AQ634" s="443">
        <v>43430</v>
      </c>
      <c r="AT634" s="447"/>
      <c r="AU634" s="447"/>
      <c r="AV634" s="447"/>
      <c r="AY634" s="427" t="s">
        <v>1717</v>
      </c>
      <c r="AZ634" s="373"/>
      <c r="BB634" s="374" t="s">
        <v>1727</v>
      </c>
      <c r="BC634" s="445"/>
      <c r="BE634" s="448">
        <v>0</v>
      </c>
      <c r="BF634" s="449">
        <v>0</v>
      </c>
      <c r="BG634" s="450" t="s">
        <v>1764</v>
      </c>
      <c r="BH634" s="445"/>
      <c r="BI634" s="491"/>
      <c r="BJ634" s="491">
        <v>7</v>
      </c>
      <c r="BK634" s="445" t="s">
        <v>199</v>
      </c>
      <c r="BL634" s="445" t="s">
        <v>3415</v>
      </c>
      <c r="BM634" s="445"/>
      <c r="BN634" s="445" t="s">
        <v>1765</v>
      </c>
      <c r="BO634" s="445" t="s">
        <v>1765</v>
      </c>
      <c r="BP634" s="445" t="s">
        <v>1765</v>
      </c>
      <c r="BQ634" s="445" t="s">
        <v>1269</v>
      </c>
      <c r="BR634" s="445"/>
      <c r="BS634" s="445"/>
      <c r="BT634" s="445"/>
      <c r="BU634" s="445"/>
      <c r="BV634" s="445"/>
      <c r="BW634" s="445" t="s">
        <v>2525</v>
      </c>
      <c r="BX634" s="445"/>
      <c r="BY634" s="445"/>
    </row>
    <row r="635" spans="1:77" ht="15">
      <c r="A635" s="370" t="s">
        <v>1269</v>
      </c>
      <c r="B635" s="415" t="s">
        <v>177</v>
      </c>
      <c r="C635" s="416" t="s">
        <v>1682</v>
      </c>
      <c r="D635" s="444">
        <v>0</v>
      </c>
      <c r="E635" s="415" t="s">
        <v>1716</v>
      </c>
      <c r="F635" s="444">
        <v>3</v>
      </c>
      <c r="G635" s="415" t="s">
        <v>1661</v>
      </c>
      <c r="H635" s="444">
        <v>24</v>
      </c>
      <c r="I635" s="417" t="s">
        <v>1659</v>
      </c>
      <c r="J635" s="444">
        <v>5</v>
      </c>
      <c r="K635" s="444">
        <v>294</v>
      </c>
      <c r="L635" s="444">
        <v>0</v>
      </c>
      <c r="M635" s="444">
        <v>0</v>
      </c>
      <c r="N635" s="444">
        <v>8</v>
      </c>
      <c r="O635" s="444">
        <v>0</v>
      </c>
      <c r="P635" s="444">
        <v>0</v>
      </c>
      <c r="Q635" s="444">
        <v>0</v>
      </c>
      <c r="R635" s="444">
        <v>0</v>
      </c>
      <c r="S635" s="444">
        <v>0</v>
      </c>
      <c r="T635" s="444">
        <v>62</v>
      </c>
      <c r="U635" s="444">
        <v>0</v>
      </c>
      <c r="V635" s="444">
        <v>0</v>
      </c>
      <c r="W635" s="444">
        <v>3</v>
      </c>
      <c r="X635" s="418"/>
      <c r="Y635" s="445"/>
      <c r="Z635" s="420"/>
      <c r="AA635" s="421">
        <v>101.607</v>
      </c>
      <c r="AB635" s="421">
        <v>29.978000000000002</v>
      </c>
      <c r="AC635" s="454">
        <v>7</v>
      </c>
      <c r="AE635" s="445" t="s">
        <v>2546</v>
      </c>
      <c r="AF635" s="454">
        <v>1</v>
      </c>
      <c r="AG635" s="441">
        <v>43101</v>
      </c>
      <c r="AJ635" s="442">
        <v>43430</v>
      </c>
      <c r="AL635" s="446" t="s">
        <v>920</v>
      </c>
      <c r="AO635" s="445"/>
      <c r="AP635" s="454">
        <v>100</v>
      </c>
      <c r="AQ635" s="443">
        <v>43430</v>
      </c>
      <c r="AT635" s="447"/>
      <c r="AU635" s="447"/>
      <c r="AV635" s="447"/>
      <c r="AY635" s="427" t="s">
        <v>1717</v>
      </c>
      <c r="AZ635" s="373"/>
      <c r="BB635" s="374" t="s">
        <v>1727</v>
      </c>
      <c r="BC635" s="445"/>
      <c r="BE635" s="448">
        <v>0</v>
      </c>
      <c r="BF635" s="449">
        <v>0</v>
      </c>
      <c r="BG635" s="450" t="s">
        <v>1764</v>
      </c>
      <c r="BH635" s="445"/>
      <c r="BI635" s="491"/>
      <c r="BJ635" s="491">
        <v>4</v>
      </c>
      <c r="BK635" s="445" t="s">
        <v>3416</v>
      </c>
      <c r="BL635" s="445" t="s">
        <v>3417</v>
      </c>
      <c r="BM635" s="445"/>
      <c r="BN635" s="445" t="s">
        <v>1765</v>
      </c>
      <c r="BO635" s="445" t="s">
        <v>1765</v>
      </c>
      <c r="BP635" s="445" t="s">
        <v>1765</v>
      </c>
      <c r="BQ635" s="445" t="s">
        <v>1269</v>
      </c>
      <c r="BR635" s="445"/>
      <c r="BS635" s="445"/>
      <c r="BT635" s="445"/>
      <c r="BU635" s="445"/>
      <c r="BV635" s="445"/>
      <c r="BW635" s="445" t="s">
        <v>2525</v>
      </c>
      <c r="BX635" s="445"/>
      <c r="BY635" s="445"/>
    </row>
    <row r="636" spans="1:77" ht="15">
      <c r="A636" s="370" t="s">
        <v>1269</v>
      </c>
      <c r="B636" s="415" t="s">
        <v>177</v>
      </c>
      <c r="C636" s="416" t="s">
        <v>1682</v>
      </c>
      <c r="D636" s="444">
        <v>0</v>
      </c>
      <c r="E636" s="415" t="s">
        <v>1716</v>
      </c>
      <c r="F636" s="444">
        <v>3</v>
      </c>
      <c r="G636" s="415" t="s">
        <v>1661</v>
      </c>
      <c r="H636" s="444">
        <v>40</v>
      </c>
      <c r="I636" s="417" t="s">
        <v>1683</v>
      </c>
      <c r="J636" s="444">
        <v>2.5</v>
      </c>
      <c r="K636" s="444">
        <v>97</v>
      </c>
      <c r="L636" s="444">
        <v>0</v>
      </c>
      <c r="M636" s="444">
        <v>0</v>
      </c>
      <c r="N636" s="444">
        <v>2</v>
      </c>
      <c r="O636" s="444">
        <v>0</v>
      </c>
      <c r="P636" s="444">
        <v>0</v>
      </c>
      <c r="Q636" s="444">
        <v>0</v>
      </c>
      <c r="R636" s="444">
        <v>0</v>
      </c>
      <c r="S636" s="444">
        <v>0</v>
      </c>
      <c r="T636" s="444">
        <v>29</v>
      </c>
      <c r="U636" s="444">
        <v>0</v>
      </c>
      <c r="V636" s="444">
        <v>0</v>
      </c>
      <c r="W636" s="444">
        <v>2</v>
      </c>
      <c r="X636" s="418"/>
      <c r="Y636" s="445"/>
      <c r="Z636" s="420"/>
      <c r="AA636" s="421">
        <v>98.171000000000006</v>
      </c>
      <c r="AB636" s="421">
        <v>29.978000000000002</v>
      </c>
      <c r="AC636" s="454">
        <v>3</v>
      </c>
      <c r="AE636" s="445" t="s">
        <v>2543</v>
      </c>
      <c r="AF636" s="454">
        <v>1</v>
      </c>
      <c r="AG636" s="441">
        <v>43101</v>
      </c>
      <c r="AJ636" s="442">
        <v>43430</v>
      </c>
      <c r="AL636" s="446" t="s">
        <v>1681</v>
      </c>
      <c r="AO636" s="445"/>
      <c r="AP636" s="454">
        <v>100</v>
      </c>
      <c r="AQ636" s="443">
        <v>43430</v>
      </c>
      <c r="AT636" s="447"/>
      <c r="AU636" s="447"/>
      <c r="AV636" s="447"/>
      <c r="AY636" s="427" t="s">
        <v>1717</v>
      </c>
      <c r="AZ636" s="373"/>
      <c r="BB636" s="374" t="s">
        <v>1727</v>
      </c>
      <c r="BC636" s="445"/>
      <c r="BE636" s="448">
        <v>0</v>
      </c>
      <c r="BF636" s="449">
        <v>0</v>
      </c>
      <c r="BG636" s="450" t="s">
        <v>1764</v>
      </c>
      <c r="BH636" s="445"/>
      <c r="BI636" s="491"/>
      <c r="BJ636" s="491">
        <v>5</v>
      </c>
      <c r="BK636" s="445" t="s">
        <v>3107</v>
      </c>
      <c r="BL636" s="445" t="s">
        <v>3418</v>
      </c>
      <c r="BM636" s="445"/>
      <c r="BN636" s="445" t="s">
        <v>1765</v>
      </c>
      <c r="BO636" s="445" t="s">
        <v>1765</v>
      </c>
      <c r="BP636" s="445" t="s">
        <v>1765</v>
      </c>
      <c r="BQ636" s="445" t="s">
        <v>1269</v>
      </c>
      <c r="BR636" s="445"/>
      <c r="BS636" s="445"/>
      <c r="BT636" s="445"/>
      <c r="BU636" s="445"/>
      <c r="BV636" s="445"/>
      <c r="BW636" s="445" t="s">
        <v>2525</v>
      </c>
      <c r="BX636" s="445"/>
      <c r="BY636" s="445"/>
    </row>
    <row r="637" spans="1:77" ht="15">
      <c r="A637" s="370" t="s">
        <v>1783</v>
      </c>
      <c r="B637" s="415" t="s">
        <v>177</v>
      </c>
      <c r="C637" s="416" t="s">
        <v>2059</v>
      </c>
      <c r="D637" s="444">
        <v>0</v>
      </c>
      <c r="E637" s="415" t="s">
        <v>1749</v>
      </c>
      <c r="F637" s="444">
        <v>3</v>
      </c>
      <c r="G637" s="415" t="s">
        <v>1750</v>
      </c>
      <c r="H637" s="444">
        <v>45</v>
      </c>
      <c r="I637" s="417" t="s">
        <v>1425</v>
      </c>
      <c r="J637" s="444">
        <v>0.2</v>
      </c>
      <c r="K637" s="444">
        <v>0</v>
      </c>
      <c r="L637" s="444"/>
      <c r="M637" s="444">
        <v>0</v>
      </c>
      <c r="N637" s="444">
        <v>40</v>
      </c>
      <c r="O637" s="444"/>
      <c r="P637" s="444"/>
      <c r="Q637" s="444">
        <v>0</v>
      </c>
      <c r="R637" s="444"/>
      <c r="S637" s="444">
        <v>0</v>
      </c>
      <c r="T637" s="444">
        <v>0</v>
      </c>
      <c r="U637" s="444"/>
      <c r="V637" s="444">
        <v>0</v>
      </c>
      <c r="W637" s="444">
        <v>0</v>
      </c>
      <c r="X637" s="418"/>
      <c r="Y637" s="445"/>
      <c r="Z637" s="420"/>
      <c r="AA637" s="421">
        <v>185.63</v>
      </c>
      <c r="AB637" s="421"/>
      <c r="AC637" s="454">
        <v>23</v>
      </c>
      <c r="AE637" s="445" t="s">
        <v>2547</v>
      </c>
      <c r="AF637" s="454">
        <v>1</v>
      </c>
      <c r="AG637" s="441">
        <v>43101</v>
      </c>
      <c r="AJ637" s="442">
        <v>43427</v>
      </c>
      <c r="AL637" s="446" t="s">
        <v>1015</v>
      </c>
      <c r="AO637" s="445"/>
      <c r="AP637" s="454">
        <v>97</v>
      </c>
      <c r="AQ637" s="443">
        <v>43427</v>
      </c>
      <c r="AR637" s="370">
        <v>0.3</v>
      </c>
      <c r="AT637" s="447"/>
      <c r="AU637" s="447"/>
      <c r="AV637" s="447"/>
      <c r="AY637" s="427" t="s">
        <v>1717</v>
      </c>
      <c r="AZ637" s="373"/>
      <c r="BB637" s="374" t="s">
        <v>1727</v>
      </c>
      <c r="BC637" s="445"/>
      <c r="BE637" s="448"/>
      <c r="BF637" s="449"/>
      <c r="BG637" s="450"/>
      <c r="BH637" s="445"/>
      <c r="BI637" s="491"/>
      <c r="BJ637" s="491">
        <v>8</v>
      </c>
      <c r="BK637" s="445" t="s">
        <v>3419</v>
      </c>
      <c r="BL637" s="445" t="s">
        <v>3420</v>
      </c>
      <c r="BM637" s="445"/>
      <c r="BN637" s="445"/>
      <c r="BO637" s="445"/>
      <c r="BP637" s="445"/>
      <c r="BQ637" s="445" t="s">
        <v>1783</v>
      </c>
      <c r="BR637" s="445">
        <v>2</v>
      </c>
      <c r="BS637" s="445"/>
      <c r="BT637" s="445"/>
      <c r="BU637" s="445"/>
      <c r="BV637" s="445"/>
      <c r="BW637" s="445" t="s">
        <v>2525</v>
      </c>
      <c r="BX637" s="445"/>
      <c r="BY637" s="445"/>
    </row>
    <row r="638" spans="1:77" ht="15">
      <c r="A638" s="370" t="s">
        <v>1783</v>
      </c>
      <c r="B638" s="415" t="s">
        <v>177</v>
      </c>
      <c r="C638" s="416" t="s">
        <v>2059</v>
      </c>
      <c r="D638" s="444">
        <v>0</v>
      </c>
      <c r="E638" s="415" t="s">
        <v>1749</v>
      </c>
      <c r="F638" s="444">
        <v>3</v>
      </c>
      <c r="G638" s="415" t="s">
        <v>1750</v>
      </c>
      <c r="H638" s="444">
        <v>35</v>
      </c>
      <c r="I638" s="417" t="s">
        <v>1423</v>
      </c>
      <c r="J638" s="444">
        <v>0.2</v>
      </c>
      <c r="K638" s="444">
        <v>0</v>
      </c>
      <c r="L638" s="444"/>
      <c r="M638" s="444">
        <v>0</v>
      </c>
      <c r="N638" s="444">
        <v>40</v>
      </c>
      <c r="O638" s="444"/>
      <c r="P638" s="444"/>
      <c r="Q638" s="444">
        <v>0</v>
      </c>
      <c r="R638" s="444"/>
      <c r="S638" s="444">
        <v>0</v>
      </c>
      <c r="T638" s="444">
        <v>0</v>
      </c>
      <c r="U638" s="444"/>
      <c r="V638" s="444">
        <v>0</v>
      </c>
      <c r="W638" s="444">
        <v>0</v>
      </c>
      <c r="X638" s="418"/>
      <c r="Y638" s="445"/>
      <c r="Z638" s="420"/>
      <c r="AA638" s="421">
        <v>185.63</v>
      </c>
      <c r="AB638" s="421"/>
      <c r="AC638" s="454">
        <v>23</v>
      </c>
      <c r="AE638" s="445" t="s">
        <v>2548</v>
      </c>
      <c r="AF638" s="454">
        <v>1</v>
      </c>
      <c r="AG638" s="441">
        <v>43101</v>
      </c>
      <c r="AJ638" s="442">
        <v>43427</v>
      </c>
      <c r="AL638" s="446" t="s">
        <v>1015</v>
      </c>
      <c r="AO638" s="445"/>
      <c r="AP638" s="454">
        <v>97</v>
      </c>
      <c r="AQ638" s="443">
        <v>43427</v>
      </c>
      <c r="AR638" s="370">
        <v>0.3</v>
      </c>
      <c r="AT638" s="447"/>
      <c r="AU638" s="447"/>
      <c r="AV638" s="447"/>
      <c r="AY638" s="427" t="s">
        <v>1717</v>
      </c>
      <c r="AZ638" s="373"/>
      <c r="BB638" s="374" t="s">
        <v>1727</v>
      </c>
      <c r="BC638" s="445"/>
      <c r="BE638" s="448"/>
      <c r="BF638" s="449"/>
      <c r="BG638" s="450"/>
      <c r="BH638" s="445"/>
      <c r="BI638" s="491"/>
      <c r="BJ638" s="491">
        <v>9</v>
      </c>
      <c r="BK638" s="445" t="s">
        <v>3421</v>
      </c>
      <c r="BL638" s="445" t="s">
        <v>3422</v>
      </c>
      <c r="BM638" s="445"/>
      <c r="BN638" s="445"/>
      <c r="BO638" s="445"/>
      <c r="BP638" s="445"/>
      <c r="BQ638" s="445" t="s">
        <v>1783</v>
      </c>
      <c r="BR638" s="445">
        <v>2</v>
      </c>
      <c r="BS638" s="445"/>
      <c r="BT638" s="445"/>
      <c r="BU638" s="445"/>
      <c r="BV638" s="445"/>
      <c r="BW638" s="445" t="s">
        <v>2525</v>
      </c>
      <c r="BX638" s="445"/>
      <c r="BY638" s="445"/>
    </row>
    <row r="639" spans="1:77" ht="15">
      <c r="A639" s="370" t="s">
        <v>1783</v>
      </c>
      <c r="B639" s="415" t="s">
        <v>177</v>
      </c>
      <c r="C639" s="416" t="s">
        <v>2059</v>
      </c>
      <c r="D639" s="444">
        <v>0</v>
      </c>
      <c r="E639" s="415" t="s">
        <v>1749</v>
      </c>
      <c r="F639" s="444">
        <v>3</v>
      </c>
      <c r="G639" s="415" t="s">
        <v>1750</v>
      </c>
      <c r="H639" s="444">
        <v>36</v>
      </c>
      <c r="I639" s="417" t="s">
        <v>1422</v>
      </c>
      <c r="J639" s="444">
        <v>0.2</v>
      </c>
      <c r="K639" s="444">
        <v>0</v>
      </c>
      <c r="L639" s="444"/>
      <c r="M639" s="444">
        <v>0</v>
      </c>
      <c r="N639" s="444">
        <v>40</v>
      </c>
      <c r="O639" s="444"/>
      <c r="P639" s="444"/>
      <c r="Q639" s="444">
        <v>0</v>
      </c>
      <c r="R639" s="444"/>
      <c r="S639" s="444">
        <v>0</v>
      </c>
      <c r="T639" s="444">
        <v>0</v>
      </c>
      <c r="U639" s="444"/>
      <c r="V639" s="444">
        <v>0</v>
      </c>
      <c r="W639" s="444">
        <v>0</v>
      </c>
      <c r="X639" s="418"/>
      <c r="Y639" s="445"/>
      <c r="Z639" s="420"/>
      <c r="AA639" s="421">
        <v>185.63</v>
      </c>
      <c r="AB639" s="421"/>
      <c r="AC639" s="454">
        <v>23</v>
      </c>
      <c r="AE639" s="445" t="s">
        <v>2549</v>
      </c>
      <c r="AF639" s="454">
        <v>1</v>
      </c>
      <c r="AG639" s="441">
        <v>43101</v>
      </c>
      <c r="AJ639" s="442">
        <v>43427</v>
      </c>
      <c r="AL639" s="446" t="s">
        <v>1015</v>
      </c>
      <c r="AO639" s="445"/>
      <c r="AP639" s="454">
        <v>97</v>
      </c>
      <c r="AQ639" s="443">
        <v>43427</v>
      </c>
      <c r="AR639" s="370">
        <v>0.3</v>
      </c>
      <c r="AT639" s="447"/>
      <c r="AU639" s="447"/>
      <c r="AV639" s="447"/>
      <c r="AY639" s="427" t="s">
        <v>1717</v>
      </c>
      <c r="AZ639" s="373"/>
      <c r="BB639" s="374" t="s">
        <v>1727</v>
      </c>
      <c r="BC639" s="445"/>
      <c r="BE639" s="448"/>
      <c r="BF639" s="449"/>
      <c r="BG639" s="450"/>
      <c r="BH639" s="445"/>
      <c r="BI639" s="491"/>
      <c r="BJ639" s="491">
        <v>10</v>
      </c>
      <c r="BK639" s="445" t="s">
        <v>3391</v>
      </c>
      <c r="BL639" s="445" t="s">
        <v>3423</v>
      </c>
      <c r="BM639" s="445"/>
      <c r="BN639" s="445"/>
      <c r="BO639" s="445"/>
      <c r="BP639" s="445"/>
      <c r="BQ639" s="445" t="s">
        <v>1783</v>
      </c>
      <c r="BR639" s="445">
        <v>2</v>
      </c>
      <c r="BS639" s="445"/>
      <c r="BT639" s="445"/>
      <c r="BU639" s="445"/>
      <c r="BV639" s="445"/>
      <c r="BW639" s="445" t="s">
        <v>2525</v>
      </c>
      <c r="BX639" s="445"/>
      <c r="BY639" s="445"/>
    </row>
    <row r="640" spans="1:77" ht="15">
      <c r="A640" s="370" t="s">
        <v>1783</v>
      </c>
      <c r="B640" s="415" t="s">
        <v>177</v>
      </c>
      <c r="C640" s="416" t="s">
        <v>2093</v>
      </c>
      <c r="D640" s="444">
        <v>0</v>
      </c>
      <c r="E640" s="415" t="s">
        <v>1749</v>
      </c>
      <c r="F640" s="444">
        <v>3</v>
      </c>
      <c r="G640" s="415" t="s">
        <v>1750</v>
      </c>
      <c r="H640" s="444">
        <v>28</v>
      </c>
      <c r="I640" s="417" t="s">
        <v>1683</v>
      </c>
      <c r="J640" s="444">
        <v>2.4</v>
      </c>
      <c r="K640" s="444">
        <v>0</v>
      </c>
      <c r="L640" s="444"/>
      <c r="M640" s="444">
        <v>0</v>
      </c>
      <c r="N640" s="444">
        <v>170</v>
      </c>
      <c r="O640" s="444"/>
      <c r="P640" s="444"/>
      <c r="Q640" s="444">
        <v>0</v>
      </c>
      <c r="R640" s="444"/>
      <c r="S640" s="444">
        <v>0</v>
      </c>
      <c r="T640" s="444">
        <v>0</v>
      </c>
      <c r="U640" s="444"/>
      <c r="V640" s="444">
        <v>0</v>
      </c>
      <c r="W640" s="444">
        <v>0</v>
      </c>
      <c r="X640" s="418"/>
      <c r="Y640" s="445"/>
      <c r="Z640" s="420"/>
      <c r="AA640" s="421">
        <v>204.24</v>
      </c>
      <c r="AB640" s="421"/>
      <c r="AC640" s="454">
        <v>23</v>
      </c>
      <c r="AE640" s="445" t="s">
        <v>2550</v>
      </c>
      <c r="AF640" s="454">
        <v>1</v>
      </c>
      <c r="AG640" s="441">
        <v>43101</v>
      </c>
      <c r="AJ640" s="442">
        <v>43432</v>
      </c>
      <c r="AL640" s="446" t="s">
        <v>1681</v>
      </c>
      <c r="AO640" s="445"/>
      <c r="AP640" s="454">
        <v>101</v>
      </c>
      <c r="AQ640" s="443">
        <v>43432</v>
      </c>
      <c r="AR640" s="370">
        <v>0.3</v>
      </c>
      <c r="AT640" s="447"/>
      <c r="AU640" s="447"/>
      <c r="AV640" s="447"/>
      <c r="AY640" s="427" t="s">
        <v>1717</v>
      </c>
      <c r="AZ640" s="373"/>
      <c r="BB640" s="374" t="s">
        <v>1727</v>
      </c>
      <c r="BC640" s="445"/>
      <c r="BE640" s="448"/>
      <c r="BF640" s="449"/>
      <c r="BG640" s="450"/>
      <c r="BH640" s="445"/>
      <c r="BI640" s="491"/>
      <c r="BJ640" s="491">
        <v>11</v>
      </c>
      <c r="BK640" s="445" t="s">
        <v>3424</v>
      </c>
      <c r="BL640" s="445" t="s">
        <v>3425</v>
      </c>
      <c r="BM640" s="445"/>
      <c r="BN640" s="445"/>
      <c r="BO640" s="445"/>
      <c r="BP640" s="445"/>
      <c r="BQ640" s="445" t="s">
        <v>1783</v>
      </c>
      <c r="BR640" s="445">
        <v>2</v>
      </c>
      <c r="BS640" s="445"/>
      <c r="BT640" s="445"/>
      <c r="BU640" s="445"/>
      <c r="BV640" s="445"/>
      <c r="BW640" s="445" t="s">
        <v>2525</v>
      </c>
      <c r="BX640" s="445"/>
      <c r="BY640" s="445"/>
    </row>
    <row r="641" spans="1:77" ht="15">
      <c r="A641" s="370" t="s">
        <v>1783</v>
      </c>
      <c r="B641" s="415" t="s">
        <v>296</v>
      </c>
      <c r="C641" s="416" t="s">
        <v>1784</v>
      </c>
      <c r="D641" s="444">
        <v>0</v>
      </c>
      <c r="E641" s="415" t="s">
        <v>1749</v>
      </c>
      <c r="F641" s="444">
        <v>3</v>
      </c>
      <c r="G641" s="415" t="s">
        <v>1750</v>
      </c>
      <c r="H641" s="444">
        <v>26</v>
      </c>
      <c r="I641" s="417" t="s">
        <v>1664</v>
      </c>
      <c r="J641" s="444">
        <v>5.4</v>
      </c>
      <c r="K641" s="444">
        <v>0</v>
      </c>
      <c r="L641" s="444"/>
      <c r="M641" s="444">
        <v>0</v>
      </c>
      <c r="N641" s="444">
        <v>170</v>
      </c>
      <c r="O641" s="444"/>
      <c r="P641" s="444"/>
      <c r="Q641" s="444">
        <v>583.33000000000004</v>
      </c>
      <c r="R641" s="444"/>
      <c r="S641" s="444">
        <v>0</v>
      </c>
      <c r="T641" s="444">
        <v>0</v>
      </c>
      <c r="U641" s="444"/>
      <c r="V641" s="444">
        <v>0</v>
      </c>
      <c r="W641" s="444">
        <v>0</v>
      </c>
      <c r="X641" s="418"/>
      <c r="Y641" s="445"/>
      <c r="Z641" s="420"/>
      <c r="AA641" s="421">
        <v>209.66</v>
      </c>
      <c r="AB641" s="421"/>
      <c r="AC641" s="454">
        <v>23</v>
      </c>
      <c r="AE641" s="445" t="s">
        <v>2551</v>
      </c>
      <c r="AF641" s="454">
        <v>1</v>
      </c>
      <c r="AG641" s="441">
        <v>43101</v>
      </c>
      <c r="AJ641" s="442">
        <v>43405</v>
      </c>
      <c r="AL641" s="446" t="s">
        <v>933</v>
      </c>
      <c r="AO641" s="445"/>
      <c r="AP641" s="454">
        <v>556668</v>
      </c>
      <c r="AQ641" s="443">
        <v>43196</v>
      </c>
      <c r="AR641" s="370">
        <v>0.5</v>
      </c>
      <c r="AT641" s="447"/>
      <c r="AU641" s="447"/>
      <c r="AV641" s="447"/>
      <c r="AY641" s="427" t="s">
        <v>1722</v>
      </c>
      <c r="AZ641" s="373"/>
      <c r="BB641" s="374" t="s">
        <v>1728</v>
      </c>
      <c r="BC641" s="445"/>
      <c r="BE641" s="448"/>
      <c r="BF641" s="449"/>
      <c r="BG641" s="450"/>
      <c r="BH641" s="445"/>
      <c r="BI641" s="491"/>
      <c r="BJ641" s="491">
        <v>6</v>
      </c>
      <c r="BK641" s="445" t="s">
        <v>1862</v>
      </c>
      <c r="BL641" s="445" t="s">
        <v>3426</v>
      </c>
      <c r="BM641" s="445"/>
      <c r="BN641" s="445"/>
      <c r="BO641" s="445"/>
      <c r="BP641" s="445"/>
      <c r="BQ641" s="445" t="s">
        <v>1783</v>
      </c>
      <c r="BR641" s="445">
        <v>5</v>
      </c>
      <c r="BS641" s="445"/>
      <c r="BT641" s="445"/>
      <c r="BU641" s="445"/>
      <c r="BV641" s="445"/>
      <c r="BW641" s="445" t="s">
        <v>2525</v>
      </c>
      <c r="BX641" s="445"/>
      <c r="BY641" s="445"/>
    </row>
    <row r="642" spans="1:77" ht="15">
      <c r="A642" s="370" t="s">
        <v>1783</v>
      </c>
      <c r="B642" s="415" t="s">
        <v>85</v>
      </c>
      <c r="C642" s="416" t="s">
        <v>2081</v>
      </c>
      <c r="D642" s="444">
        <v>0</v>
      </c>
      <c r="E642" s="415" t="s">
        <v>1749</v>
      </c>
      <c r="F642" s="444">
        <v>3</v>
      </c>
      <c r="G642" s="415" t="s">
        <v>1750</v>
      </c>
      <c r="H642" s="444">
        <v>77</v>
      </c>
      <c r="I642" s="417" t="s">
        <v>1632</v>
      </c>
      <c r="J642" s="444">
        <v>2</v>
      </c>
      <c r="K642" s="444">
        <v>0</v>
      </c>
      <c r="L642" s="444"/>
      <c r="M642" s="444">
        <v>0</v>
      </c>
      <c r="N642" s="444">
        <v>250</v>
      </c>
      <c r="O642" s="444"/>
      <c r="P642" s="444"/>
      <c r="Q642" s="444">
        <v>0</v>
      </c>
      <c r="R642" s="444"/>
      <c r="S642" s="444">
        <v>0</v>
      </c>
      <c r="T642" s="444">
        <v>0</v>
      </c>
      <c r="U642" s="444"/>
      <c r="V642" s="444">
        <v>0</v>
      </c>
      <c r="W642" s="444">
        <v>0</v>
      </c>
      <c r="X642" s="418"/>
      <c r="Y642" s="445"/>
      <c r="Z642" s="420"/>
      <c r="AA642" s="421">
        <v>185.62</v>
      </c>
      <c r="AB642" s="421"/>
      <c r="AC642" s="454">
        <v>23</v>
      </c>
      <c r="AE642" s="445" t="s">
        <v>2552</v>
      </c>
      <c r="AF642" s="454">
        <v>1</v>
      </c>
      <c r="AG642" s="441">
        <v>43101</v>
      </c>
      <c r="AJ642" s="442">
        <v>43432</v>
      </c>
      <c r="AL642" s="446" t="s">
        <v>1009</v>
      </c>
      <c r="AO642" s="445"/>
      <c r="AP642" s="454">
        <v>103</v>
      </c>
      <c r="AQ642" s="443">
        <v>43432</v>
      </c>
      <c r="AR642" s="370">
        <v>0.3</v>
      </c>
      <c r="AT642" s="447"/>
      <c r="AU642" s="447"/>
      <c r="AV642" s="447"/>
      <c r="AY642" s="427" t="s">
        <v>1717</v>
      </c>
      <c r="AZ642" s="373"/>
      <c r="BB642" s="374" t="s">
        <v>1727</v>
      </c>
      <c r="BC642" s="445"/>
      <c r="BE642" s="448"/>
      <c r="BF642" s="449"/>
      <c r="BG642" s="450"/>
      <c r="BH642" s="445"/>
      <c r="BI642" s="491"/>
      <c r="BJ642" s="491">
        <v>3</v>
      </c>
      <c r="BK642" s="445" t="s">
        <v>3427</v>
      </c>
      <c r="BL642" s="445" t="s">
        <v>3428</v>
      </c>
      <c r="BM642" s="445"/>
      <c r="BN642" s="445"/>
      <c r="BO642" s="445"/>
      <c r="BP642" s="445"/>
      <c r="BQ642" s="445" t="s">
        <v>1783</v>
      </c>
      <c r="BR642" s="445">
        <v>2</v>
      </c>
      <c r="BS642" s="445"/>
      <c r="BT642" s="445"/>
      <c r="BU642" s="445"/>
      <c r="BV642" s="445"/>
      <c r="BW642" s="445" t="s">
        <v>2525</v>
      </c>
      <c r="BX642" s="445"/>
      <c r="BY642" s="445"/>
    </row>
    <row r="643" spans="1:77" ht="15">
      <c r="A643" s="370" t="s">
        <v>1269</v>
      </c>
      <c r="B643" s="415" t="s">
        <v>296</v>
      </c>
      <c r="C643" s="416" t="s">
        <v>1682</v>
      </c>
      <c r="D643" s="444">
        <v>0</v>
      </c>
      <c r="E643" s="415" t="s">
        <v>1749</v>
      </c>
      <c r="F643" s="444">
        <v>3</v>
      </c>
      <c r="G643" s="415" t="s">
        <v>1750</v>
      </c>
      <c r="H643" s="444">
        <v>110</v>
      </c>
      <c r="I643" s="417" t="s">
        <v>1692</v>
      </c>
      <c r="J643" s="444">
        <v>8.6999999999999993</v>
      </c>
      <c r="K643" s="444">
        <v>293</v>
      </c>
      <c r="L643" s="444"/>
      <c r="M643" s="444">
        <v>0</v>
      </c>
      <c r="N643" s="444">
        <v>8</v>
      </c>
      <c r="O643" s="444"/>
      <c r="P643" s="444"/>
      <c r="Q643" s="444">
        <v>0</v>
      </c>
      <c r="R643" s="444"/>
      <c r="S643" s="444">
        <v>0</v>
      </c>
      <c r="T643" s="444">
        <v>0</v>
      </c>
      <c r="U643" s="444">
        <v>21</v>
      </c>
      <c r="V643" s="444">
        <v>13</v>
      </c>
      <c r="W643" s="444">
        <v>71</v>
      </c>
      <c r="X643" s="418"/>
      <c r="Y643" s="445"/>
      <c r="Z643" s="420"/>
      <c r="AA643" s="421">
        <v>92.545000000000002</v>
      </c>
      <c r="AB643" s="421"/>
      <c r="AC643" s="454">
        <v>10</v>
      </c>
      <c r="AE643" s="445" t="s">
        <v>2553</v>
      </c>
      <c r="AF643" s="454">
        <v>1</v>
      </c>
      <c r="AG643" s="441">
        <v>43101</v>
      </c>
      <c r="AJ643" s="442">
        <v>43430</v>
      </c>
      <c r="AL643" s="446" t="s">
        <v>1012</v>
      </c>
      <c r="AO643" s="445"/>
      <c r="AP643" s="454">
        <v>99</v>
      </c>
      <c r="AQ643" s="443">
        <v>43430</v>
      </c>
      <c r="AR643" s="370">
        <v>0.5</v>
      </c>
      <c r="AT643" s="447"/>
      <c r="AU643" s="447"/>
      <c r="AV643" s="447"/>
      <c r="AY643" s="427" t="s">
        <v>1722</v>
      </c>
      <c r="AZ643" s="373"/>
      <c r="BB643" s="374" t="s">
        <v>1728</v>
      </c>
      <c r="BC643" s="445"/>
      <c r="BE643" s="448"/>
      <c r="BF643" s="449"/>
      <c r="BG643" s="450"/>
      <c r="BH643" s="445"/>
      <c r="BI643" s="491"/>
      <c r="BJ643" s="491">
        <v>7</v>
      </c>
      <c r="BK643" s="445" t="s">
        <v>3429</v>
      </c>
      <c r="BL643" s="445" t="s">
        <v>3430</v>
      </c>
      <c r="BM643" s="445"/>
      <c r="BN643" s="445"/>
      <c r="BO643" s="445"/>
      <c r="BP643" s="445"/>
      <c r="BQ643" s="445" t="s">
        <v>1269</v>
      </c>
      <c r="BR643" s="445">
        <v>2</v>
      </c>
      <c r="BS643" s="445"/>
      <c r="BT643" s="445"/>
      <c r="BU643" s="445"/>
      <c r="BV643" s="445"/>
      <c r="BW643" s="445" t="s">
        <v>2525</v>
      </c>
      <c r="BX643" s="445"/>
      <c r="BY643" s="445"/>
    </row>
    <row r="644" spans="1:77" ht="15">
      <c r="A644" s="370" t="s">
        <v>1269</v>
      </c>
      <c r="B644" s="415" t="s">
        <v>296</v>
      </c>
      <c r="C644" s="416" t="s">
        <v>1682</v>
      </c>
      <c r="D644" s="444">
        <v>0</v>
      </c>
      <c r="E644" s="415" t="s">
        <v>1749</v>
      </c>
      <c r="F644" s="444">
        <v>3</v>
      </c>
      <c r="G644" s="415" t="s">
        <v>1750</v>
      </c>
      <c r="H644" s="444">
        <v>124</v>
      </c>
      <c r="I644" s="417" t="s">
        <v>1683</v>
      </c>
      <c r="J644" s="444">
        <v>0.1</v>
      </c>
      <c r="K644" s="444">
        <v>45</v>
      </c>
      <c r="L644" s="444"/>
      <c r="M644" s="444">
        <v>0</v>
      </c>
      <c r="N644" s="444">
        <v>0</v>
      </c>
      <c r="O644" s="444"/>
      <c r="P644" s="444"/>
      <c r="Q644" s="444">
        <v>0</v>
      </c>
      <c r="R644" s="444"/>
      <c r="S644" s="444">
        <v>0</v>
      </c>
      <c r="T644" s="444">
        <v>0</v>
      </c>
      <c r="U644" s="444">
        <v>0</v>
      </c>
      <c r="V644" s="444">
        <v>13</v>
      </c>
      <c r="W644" s="444">
        <v>10</v>
      </c>
      <c r="X644" s="418"/>
      <c r="Y644" s="445"/>
      <c r="Z644" s="420"/>
      <c r="AA644" s="421">
        <v>74.009</v>
      </c>
      <c r="AB644" s="421"/>
      <c r="AC644" s="454">
        <v>2</v>
      </c>
      <c r="AE644" s="445" t="s">
        <v>2554</v>
      </c>
      <c r="AF644" s="454">
        <v>1</v>
      </c>
      <c r="AG644" s="441">
        <v>43101</v>
      </c>
      <c r="AJ644" s="442">
        <v>43430</v>
      </c>
      <c r="AL644" s="446" t="s">
        <v>1689</v>
      </c>
      <c r="AO644" s="445"/>
      <c r="AP644" s="454">
        <v>99</v>
      </c>
      <c r="AQ644" s="443">
        <v>43430</v>
      </c>
      <c r="AR644" s="370">
        <v>0.5</v>
      </c>
      <c r="AT644" s="447"/>
      <c r="AU644" s="447"/>
      <c r="AV644" s="447"/>
      <c r="AY644" s="427" t="s">
        <v>1722</v>
      </c>
      <c r="AZ644" s="373"/>
      <c r="BB644" s="374" t="s">
        <v>1728</v>
      </c>
      <c r="BC644" s="445"/>
      <c r="BE644" s="448"/>
      <c r="BF644" s="449"/>
      <c r="BG644" s="450"/>
      <c r="BH644" s="445"/>
      <c r="BI644" s="491"/>
      <c r="BJ644" s="491">
        <v>8</v>
      </c>
      <c r="BK644" s="445" t="s">
        <v>306</v>
      </c>
      <c r="BL644" s="445" t="s">
        <v>3431</v>
      </c>
      <c r="BM644" s="445"/>
      <c r="BN644" s="445"/>
      <c r="BO644" s="445"/>
      <c r="BP644" s="445"/>
      <c r="BQ644" s="445" t="s">
        <v>1269</v>
      </c>
      <c r="BR644" s="445">
        <v>2</v>
      </c>
      <c r="BS644" s="445"/>
      <c r="BT644" s="445"/>
      <c r="BU644" s="445"/>
      <c r="BV644" s="445"/>
      <c r="BW644" s="445" t="s">
        <v>2525</v>
      </c>
      <c r="BX644" s="445"/>
      <c r="BY644" s="445"/>
    </row>
    <row r="645" spans="1:77" ht="15">
      <c r="A645" s="370" t="s">
        <v>31</v>
      </c>
      <c r="B645" s="415" t="s">
        <v>132</v>
      </c>
      <c r="C645" s="416" t="s">
        <v>31</v>
      </c>
      <c r="D645" s="444">
        <v>0</v>
      </c>
      <c r="E645" s="415" t="s">
        <v>1716</v>
      </c>
      <c r="F645" s="444">
        <v>2</v>
      </c>
      <c r="G645" s="415" t="s">
        <v>1661</v>
      </c>
      <c r="H645" s="444">
        <v>23</v>
      </c>
      <c r="I645" s="417" t="s">
        <v>1694</v>
      </c>
      <c r="J645" s="444">
        <v>1.1000000000000001</v>
      </c>
      <c r="K645" s="444">
        <v>861</v>
      </c>
      <c r="L645" s="444">
        <v>1</v>
      </c>
      <c r="M645" s="444">
        <v>0</v>
      </c>
      <c r="N645" s="444">
        <v>214</v>
      </c>
      <c r="O645" s="444">
        <v>0</v>
      </c>
      <c r="P645" s="444">
        <v>0</v>
      </c>
      <c r="Q645" s="444">
        <v>22</v>
      </c>
      <c r="R645" s="444">
        <v>21</v>
      </c>
      <c r="S645" s="444">
        <v>4</v>
      </c>
      <c r="T645" s="444">
        <v>78</v>
      </c>
      <c r="U645" s="444">
        <v>7</v>
      </c>
      <c r="V645" s="444">
        <v>4</v>
      </c>
      <c r="W645" s="444">
        <v>53</v>
      </c>
      <c r="X645" s="418"/>
      <c r="Y645" s="445"/>
      <c r="Z645" s="420"/>
      <c r="AA645" s="421">
        <v>105.032</v>
      </c>
      <c r="AB645" s="421">
        <v>81.635000000000005</v>
      </c>
      <c r="AC645" s="454">
        <v>95</v>
      </c>
      <c r="AE645" s="445" t="s">
        <v>3432</v>
      </c>
      <c r="AF645" s="454">
        <v>1</v>
      </c>
      <c r="AG645" s="441">
        <v>43101</v>
      </c>
      <c r="AJ645" s="442">
        <v>43222</v>
      </c>
      <c r="AL645" s="446" t="s">
        <v>1035</v>
      </c>
      <c r="AO645" s="445"/>
      <c r="AP645" s="454">
        <v>556617</v>
      </c>
      <c r="AQ645" s="443">
        <v>43077</v>
      </c>
      <c r="AT645" s="447"/>
      <c r="AU645" s="447"/>
      <c r="AV645" s="447"/>
      <c r="AY645" s="427" t="s">
        <v>1559</v>
      </c>
      <c r="AZ645" s="373"/>
      <c r="BB645" s="374" t="s">
        <v>2214</v>
      </c>
      <c r="BC645" s="445"/>
      <c r="BE645" s="448">
        <v>5</v>
      </c>
      <c r="BF645" s="449">
        <v>40</v>
      </c>
      <c r="BG645" s="450" t="s">
        <v>1764</v>
      </c>
      <c r="BH645" s="445"/>
      <c r="BI645" s="491"/>
      <c r="BJ645" s="491">
        <v>5</v>
      </c>
      <c r="BK645" s="445" t="s">
        <v>3433</v>
      </c>
      <c r="BL645" s="445" t="s">
        <v>3434</v>
      </c>
      <c r="BM645" s="445"/>
      <c r="BN645" s="445" t="s">
        <v>1765</v>
      </c>
      <c r="BO645" s="445" t="s">
        <v>1765</v>
      </c>
      <c r="BP645" s="445" t="s">
        <v>1765</v>
      </c>
      <c r="BQ645" s="445" t="s">
        <v>31</v>
      </c>
      <c r="BR645" s="445"/>
      <c r="BS645" s="445">
        <v>5</v>
      </c>
      <c r="BT645" s="445">
        <v>20</v>
      </c>
      <c r="BU645" s="445">
        <v>70</v>
      </c>
      <c r="BV645" s="445" t="s">
        <v>2716</v>
      </c>
      <c r="BW645" s="445" t="s">
        <v>2556</v>
      </c>
      <c r="BX645" s="445" t="s">
        <v>3307</v>
      </c>
      <c r="BY645" s="445"/>
    </row>
    <row r="646" spans="1:77" ht="15">
      <c r="A646" s="370" t="s">
        <v>31</v>
      </c>
      <c r="B646" s="415" t="s">
        <v>132</v>
      </c>
      <c r="C646" s="416" t="s">
        <v>31</v>
      </c>
      <c r="D646" s="444">
        <v>0</v>
      </c>
      <c r="E646" s="415" t="s">
        <v>1716</v>
      </c>
      <c r="F646" s="444">
        <v>2</v>
      </c>
      <c r="G646" s="415" t="s">
        <v>1661</v>
      </c>
      <c r="H646" s="444">
        <v>16</v>
      </c>
      <c r="I646" s="417" t="s">
        <v>1687</v>
      </c>
      <c r="J646" s="444">
        <v>0.4</v>
      </c>
      <c r="K646" s="444">
        <v>161</v>
      </c>
      <c r="L646" s="444">
        <v>0</v>
      </c>
      <c r="M646" s="444">
        <v>0</v>
      </c>
      <c r="N646" s="444">
        <v>42</v>
      </c>
      <c r="O646" s="444">
        <v>0</v>
      </c>
      <c r="P646" s="444">
        <v>0</v>
      </c>
      <c r="Q646" s="444">
        <v>4</v>
      </c>
      <c r="R646" s="444">
        <v>12</v>
      </c>
      <c r="S646" s="444">
        <v>2</v>
      </c>
      <c r="T646" s="444">
        <v>44</v>
      </c>
      <c r="U646" s="444">
        <v>4</v>
      </c>
      <c r="V646" s="444">
        <v>2</v>
      </c>
      <c r="W646" s="444">
        <v>30</v>
      </c>
      <c r="X646" s="418"/>
      <c r="Y646" s="445"/>
      <c r="Z646" s="420"/>
      <c r="AA646" s="421">
        <v>74.477999999999994</v>
      </c>
      <c r="AB646" s="421">
        <v>31.867999999999999</v>
      </c>
      <c r="AC646" s="454">
        <v>8</v>
      </c>
      <c r="AE646" s="445" t="s">
        <v>2555</v>
      </c>
      <c r="AF646" s="454">
        <v>1</v>
      </c>
      <c r="AG646" s="441">
        <v>43101</v>
      </c>
      <c r="AJ646" s="442">
        <v>43349</v>
      </c>
      <c r="AL646" s="446" t="s">
        <v>888</v>
      </c>
      <c r="AO646" s="445"/>
      <c r="AP646" s="454">
        <v>556617</v>
      </c>
      <c r="AQ646" s="443">
        <v>43077</v>
      </c>
      <c r="AT646" s="447" t="s">
        <v>3446</v>
      </c>
      <c r="AU646" s="447"/>
      <c r="AV646" s="447"/>
      <c r="AY646" s="427" t="s">
        <v>1559</v>
      </c>
      <c r="AZ646" s="373"/>
      <c r="BB646" s="374" t="s">
        <v>2214</v>
      </c>
      <c r="BC646" s="445"/>
      <c r="BE646" s="448">
        <v>5</v>
      </c>
      <c r="BF646" s="449">
        <v>40</v>
      </c>
      <c r="BG646" s="450" t="s">
        <v>1764</v>
      </c>
      <c r="BH646" s="445"/>
      <c r="BI646" s="491"/>
      <c r="BJ646" s="491">
        <v>4</v>
      </c>
      <c r="BK646" s="445" t="s">
        <v>2901</v>
      </c>
      <c r="BL646" s="445" t="s">
        <v>3435</v>
      </c>
      <c r="BM646" s="445"/>
      <c r="BN646" s="445" t="s">
        <v>1765</v>
      </c>
      <c r="BO646" s="445" t="s">
        <v>1765</v>
      </c>
      <c r="BP646" s="445" t="s">
        <v>1765</v>
      </c>
      <c r="BQ646" s="445" t="s">
        <v>31</v>
      </c>
      <c r="BR646" s="445"/>
      <c r="BS646" s="445"/>
      <c r="BT646" s="445"/>
      <c r="BU646" s="445">
        <v>8</v>
      </c>
      <c r="BV646" s="445" t="s">
        <v>2716</v>
      </c>
      <c r="BW646" s="445" t="s">
        <v>2556</v>
      </c>
      <c r="BX646" s="445" t="s">
        <v>3307</v>
      </c>
      <c r="BY646" s="445" t="s">
        <v>3438</v>
      </c>
    </row>
    <row r="647" spans="1:77" ht="15">
      <c r="A647" s="370" t="s">
        <v>1269</v>
      </c>
      <c r="B647" s="415" t="s">
        <v>216</v>
      </c>
      <c r="C647" s="416" t="s">
        <v>1767</v>
      </c>
      <c r="D647" s="444">
        <v>0</v>
      </c>
      <c r="E647" s="415" t="s">
        <v>1716</v>
      </c>
      <c r="F647" s="444">
        <v>3</v>
      </c>
      <c r="G647" s="415" t="s">
        <v>1661</v>
      </c>
      <c r="H647" s="444">
        <v>54</v>
      </c>
      <c r="I647" s="417" t="s">
        <v>1422</v>
      </c>
      <c r="J647" s="444">
        <v>0.4</v>
      </c>
      <c r="K647" s="444">
        <v>47</v>
      </c>
      <c r="L647" s="444">
        <v>0</v>
      </c>
      <c r="M647" s="444">
        <v>0</v>
      </c>
      <c r="N647" s="444">
        <v>0</v>
      </c>
      <c r="O647" s="444">
        <v>0</v>
      </c>
      <c r="P647" s="444">
        <v>0</v>
      </c>
      <c r="Q647" s="444">
        <v>0</v>
      </c>
      <c r="R647" s="444">
        <v>0</v>
      </c>
      <c r="S647" s="444">
        <v>5</v>
      </c>
      <c r="T647" s="444">
        <v>0</v>
      </c>
      <c r="U647" s="444">
        <v>0</v>
      </c>
      <c r="V647" s="444">
        <v>0</v>
      </c>
      <c r="W647" s="444">
        <v>0</v>
      </c>
      <c r="X647" s="418"/>
      <c r="Y647" s="445"/>
      <c r="Z647" s="420"/>
      <c r="AA647" s="421">
        <v>124.059</v>
      </c>
      <c r="AB647" s="421">
        <v>29.978000000000002</v>
      </c>
      <c r="AC647" s="454">
        <v>1</v>
      </c>
      <c r="AE647" s="445" t="s">
        <v>2557</v>
      </c>
      <c r="AF647" s="454">
        <v>1</v>
      </c>
      <c r="AG647" s="441">
        <v>43101</v>
      </c>
      <c r="AJ647" s="442">
        <v>43405</v>
      </c>
      <c r="AL647" s="446" t="s">
        <v>914</v>
      </c>
      <c r="AO647" s="445"/>
      <c r="AP647" s="454">
        <v>556702</v>
      </c>
      <c r="AQ647" s="443">
        <v>43234</v>
      </c>
      <c r="AT647" s="447"/>
      <c r="AU647" s="447"/>
      <c r="AV647" s="447"/>
      <c r="AY647" s="427" t="s">
        <v>1559</v>
      </c>
      <c r="AZ647" s="373"/>
      <c r="BB647" s="374" t="s">
        <v>2214</v>
      </c>
      <c r="BC647" s="445"/>
      <c r="BE647" s="448">
        <v>0</v>
      </c>
      <c r="BF647" s="449">
        <v>0</v>
      </c>
      <c r="BG647" s="450" t="s">
        <v>1764</v>
      </c>
      <c r="BH647" s="445"/>
      <c r="BI647" s="491"/>
      <c r="BJ647" s="491">
        <v>13</v>
      </c>
      <c r="BK647" s="445" t="s">
        <v>3012</v>
      </c>
      <c r="BL647" s="445" t="s">
        <v>3013</v>
      </c>
      <c r="BM647" s="445"/>
      <c r="BN647" s="445" t="s">
        <v>1765</v>
      </c>
      <c r="BO647" s="445" t="s">
        <v>1765</v>
      </c>
      <c r="BP647" s="445" t="s">
        <v>1765</v>
      </c>
      <c r="BQ647" s="445" t="s">
        <v>1269</v>
      </c>
      <c r="BR647" s="445"/>
      <c r="BS647" s="445"/>
      <c r="BT647" s="445"/>
      <c r="BU647" s="445"/>
      <c r="BV647" s="445"/>
      <c r="BW647" s="445" t="s">
        <v>2556</v>
      </c>
      <c r="BX647" s="445"/>
      <c r="BY647" s="445"/>
    </row>
    <row r="648" spans="1:77" ht="15">
      <c r="A648" s="370" t="s">
        <v>1269</v>
      </c>
      <c r="B648" s="415" t="s">
        <v>19</v>
      </c>
      <c r="C648" s="416" t="s">
        <v>1784</v>
      </c>
      <c r="D648" s="444">
        <v>0</v>
      </c>
      <c r="E648" s="415" t="s">
        <v>1716</v>
      </c>
      <c r="F648" s="444">
        <v>3</v>
      </c>
      <c r="G648" s="415" t="s">
        <v>1661</v>
      </c>
      <c r="H648" s="444">
        <v>90</v>
      </c>
      <c r="I648" s="417" t="s">
        <v>1687</v>
      </c>
      <c r="J648" s="444">
        <v>3.5</v>
      </c>
      <c r="K648" s="444">
        <v>0</v>
      </c>
      <c r="L648" s="444">
        <v>0</v>
      </c>
      <c r="M648" s="444">
        <v>0</v>
      </c>
      <c r="N648" s="444">
        <v>140</v>
      </c>
      <c r="O648" s="444">
        <v>0</v>
      </c>
      <c r="P648" s="444">
        <v>0</v>
      </c>
      <c r="Q648" s="444">
        <v>0</v>
      </c>
      <c r="R648" s="444">
        <v>0</v>
      </c>
      <c r="S648" s="444">
        <v>0</v>
      </c>
      <c r="T648" s="444">
        <v>0</v>
      </c>
      <c r="U648" s="444">
        <v>0</v>
      </c>
      <c r="V648" s="444">
        <v>0</v>
      </c>
      <c r="W648" s="444">
        <v>0</v>
      </c>
      <c r="X648" s="418"/>
      <c r="Y648" s="445"/>
      <c r="Z648" s="420"/>
      <c r="AA648" s="421">
        <v>261.72000000000003</v>
      </c>
      <c r="AB648" s="421">
        <v>29.978000000000002</v>
      </c>
      <c r="AC648" s="454">
        <v>3</v>
      </c>
      <c r="AE648" s="445" t="s">
        <v>2558</v>
      </c>
      <c r="AF648" s="454">
        <v>1</v>
      </c>
      <c r="AG648" s="441">
        <v>43101</v>
      </c>
      <c r="AJ648" s="442">
        <v>43405</v>
      </c>
      <c r="AL648" s="446" t="s">
        <v>912</v>
      </c>
      <c r="AO648" s="445"/>
      <c r="AP648" s="454">
        <v>556639</v>
      </c>
      <c r="AQ648" s="443">
        <v>43102</v>
      </c>
      <c r="AR648" s="370">
        <v>0.3</v>
      </c>
      <c r="AT648" s="447"/>
      <c r="AU648" s="447"/>
      <c r="AV648" s="447"/>
      <c r="AY648" s="427" t="s">
        <v>1559</v>
      </c>
      <c r="AZ648" s="373"/>
      <c r="BB648" s="374" t="s">
        <v>2214</v>
      </c>
      <c r="BC648" s="445"/>
      <c r="BE648" s="448">
        <v>0</v>
      </c>
      <c r="BF648" s="449">
        <v>0</v>
      </c>
      <c r="BG648" s="450" t="s">
        <v>1764</v>
      </c>
      <c r="BH648" s="445"/>
      <c r="BI648" s="491"/>
      <c r="BJ648" s="491">
        <v>5</v>
      </c>
      <c r="BK648" s="445" t="s">
        <v>280</v>
      </c>
      <c r="BL648" s="445" t="s">
        <v>3436</v>
      </c>
      <c r="BM648" s="445"/>
      <c r="BN648" s="445" t="s">
        <v>1765</v>
      </c>
      <c r="BO648" s="445" t="s">
        <v>1765</v>
      </c>
      <c r="BP648" s="445" t="s">
        <v>1765</v>
      </c>
      <c r="BQ648" s="445" t="s">
        <v>1269</v>
      </c>
      <c r="BR648" s="445">
        <v>2</v>
      </c>
      <c r="BS648" s="445"/>
      <c r="BT648" s="445"/>
      <c r="BU648" s="445"/>
      <c r="BV648" s="445"/>
      <c r="BW648" s="445" t="s">
        <v>2556</v>
      </c>
      <c r="BX648" s="445"/>
      <c r="BY648" s="445"/>
    </row>
    <row r="649" spans="1:77" ht="15">
      <c r="A649" s="370" t="s">
        <v>1783</v>
      </c>
      <c r="B649" s="415" t="s">
        <v>296</v>
      </c>
      <c r="C649" s="416" t="s">
        <v>2081</v>
      </c>
      <c r="D649" s="444">
        <v>0</v>
      </c>
      <c r="E649" s="415" t="s">
        <v>1749</v>
      </c>
      <c r="F649" s="444">
        <v>3</v>
      </c>
      <c r="G649" s="415" t="s">
        <v>1750</v>
      </c>
      <c r="H649" s="444">
        <v>38</v>
      </c>
      <c r="I649" s="417" t="s">
        <v>1664</v>
      </c>
      <c r="J649" s="444">
        <v>1.2</v>
      </c>
      <c r="K649" s="444">
        <v>0</v>
      </c>
      <c r="L649" s="444"/>
      <c r="M649" s="444">
        <v>0</v>
      </c>
      <c r="N649" s="444">
        <v>90</v>
      </c>
      <c r="O649" s="444"/>
      <c r="P649" s="444"/>
      <c r="Q649" s="444">
        <v>0</v>
      </c>
      <c r="R649" s="444"/>
      <c r="S649" s="444">
        <v>0</v>
      </c>
      <c r="T649" s="444">
        <v>0</v>
      </c>
      <c r="U649" s="444"/>
      <c r="V649" s="444">
        <v>0</v>
      </c>
      <c r="W649" s="444">
        <v>0</v>
      </c>
      <c r="X649" s="418"/>
      <c r="Y649" s="445"/>
      <c r="Z649" s="420"/>
      <c r="AA649" s="421">
        <v>204.25</v>
      </c>
      <c r="AB649" s="421"/>
      <c r="AC649" s="454">
        <v>0</v>
      </c>
      <c r="AE649" s="445" t="s">
        <v>2559</v>
      </c>
      <c r="AF649" s="454">
        <v>1</v>
      </c>
      <c r="AG649" s="441">
        <v>43101</v>
      </c>
      <c r="AJ649" s="442">
        <v>43433</v>
      </c>
      <c r="AL649" s="446" t="s">
        <v>1026</v>
      </c>
      <c r="AO649" s="445"/>
      <c r="AP649" s="454">
        <v>104</v>
      </c>
      <c r="AQ649" s="443">
        <v>43433</v>
      </c>
      <c r="AR649" s="370">
        <v>0.3</v>
      </c>
      <c r="AT649" s="447"/>
      <c r="AU649" s="447"/>
      <c r="AV649" s="447"/>
      <c r="AY649" s="427" t="s">
        <v>1722</v>
      </c>
      <c r="AZ649" s="373"/>
      <c r="BB649" s="374" t="s">
        <v>1728</v>
      </c>
      <c r="BC649" s="445"/>
      <c r="BE649" s="448"/>
      <c r="BF649" s="449"/>
      <c r="BG649" s="450"/>
      <c r="BH649" s="445"/>
      <c r="BI649" s="491"/>
      <c r="BJ649" s="491">
        <v>9</v>
      </c>
      <c r="BK649" s="445" t="s">
        <v>1821</v>
      </c>
      <c r="BL649" s="445" t="s">
        <v>3437</v>
      </c>
      <c r="BM649" s="445"/>
      <c r="BN649" s="445"/>
      <c r="BO649" s="445"/>
      <c r="BP649" s="445"/>
      <c r="BQ649" s="445" t="s">
        <v>1783</v>
      </c>
      <c r="BR649" s="445">
        <v>2</v>
      </c>
      <c r="BS649" s="445"/>
      <c r="BT649" s="445"/>
      <c r="BU649" s="445"/>
      <c r="BV649" s="445"/>
      <c r="BW649" s="445" t="s">
        <v>2556</v>
      </c>
      <c r="BX649" s="445"/>
      <c r="BY649" s="445"/>
    </row>
    <row r="650" spans="1:77" ht="15">
      <c r="A650" s="370" t="s">
        <v>1783</v>
      </c>
      <c r="B650" s="415" t="s">
        <v>296</v>
      </c>
      <c r="C650" s="416" t="s">
        <v>2081</v>
      </c>
      <c r="D650" s="444">
        <v>0</v>
      </c>
      <c r="E650" s="415" t="s">
        <v>1749</v>
      </c>
      <c r="F650" s="444">
        <v>3</v>
      </c>
      <c r="G650" s="415" t="s">
        <v>1750</v>
      </c>
      <c r="H650" s="444">
        <v>38</v>
      </c>
      <c r="I650" s="417" t="s">
        <v>1664</v>
      </c>
      <c r="J650" s="444">
        <v>1.2</v>
      </c>
      <c r="K650" s="444">
        <v>0</v>
      </c>
      <c r="L650" s="444"/>
      <c r="M650" s="444">
        <v>0</v>
      </c>
      <c r="N650" s="444">
        <v>90</v>
      </c>
      <c r="O650" s="444"/>
      <c r="P650" s="444"/>
      <c r="Q650" s="444">
        <v>0</v>
      </c>
      <c r="R650" s="444"/>
      <c r="S650" s="444">
        <v>0</v>
      </c>
      <c r="T650" s="444">
        <v>0</v>
      </c>
      <c r="U650" s="444"/>
      <c r="V650" s="444">
        <v>0</v>
      </c>
      <c r="W650" s="444">
        <v>0</v>
      </c>
      <c r="X650" s="418"/>
      <c r="Y650" s="445"/>
      <c r="Z650" s="420"/>
      <c r="AA650" s="421">
        <v>204.25</v>
      </c>
      <c r="AB650" s="421"/>
      <c r="AC650" s="454">
        <v>0</v>
      </c>
      <c r="AE650" s="445" t="s">
        <v>2559</v>
      </c>
      <c r="AF650" s="454">
        <v>1</v>
      </c>
      <c r="AG650" s="441">
        <v>43101</v>
      </c>
      <c r="AJ650" s="442">
        <v>43433</v>
      </c>
      <c r="AL650" s="446" t="s">
        <v>1026</v>
      </c>
      <c r="AO650" s="445"/>
      <c r="AP650" s="454">
        <v>104</v>
      </c>
      <c r="AQ650" s="443">
        <v>43433</v>
      </c>
      <c r="AR650" s="370">
        <v>0.3</v>
      </c>
      <c r="AT650" s="447"/>
      <c r="AU650" s="447"/>
      <c r="AV650" s="447"/>
      <c r="AY650" s="427" t="s">
        <v>1722</v>
      </c>
      <c r="AZ650" s="373"/>
      <c r="BB650" s="374" t="s">
        <v>1728</v>
      </c>
      <c r="BC650" s="445"/>
      <c r="BE650" s="448"/>
      <c r="BF650" s="449"/>
      <c r="BG650" s="450"/>
      <c r="BH650" s="445"/>
      <c r="BI650" s="491"/>
      <c r="BJ650" s="491">
        <v>9</v>
      </c>
      <c r="BK650" s="445" t="s">
        <v>1821</v>
      </c>
      <c r="BL650" s="445" t="s">
        <v>3437</v>
      </c>
      <c r="BM650" s="445"/>
      <c r="BN650" s="445"/>
      <c r="BO650" s="445"/>
      <c r="BP650" s="445"/>
      <c r="BQ650" s="445" t="s">
        <v>1783</v>
      </c>
      <c r="BR650" s="445">
        <v>2</v>
      </c>
      <c r="BS650" s="445"/>
      <c r="BT650" s="445"/>
      <c r="BU650" s="445"/>
      <c r="BV650" s="445"/>
      <c r="BW650" s="445" t="s">
        <v>2556</v>
      </c>
      <c r="BX650" s="445"/>
      <c r="BY650" s="445"/>
    </row>
    <row r="651" spans="1:77" ht="15">
      <c r="A651" s="370" t="s">
        <v>31</v>
      </c>
      <c r="B651" s="415" t="s">
        <v>132</v>
      </c>
      <c r="C651" s="416" t="s">
        <v>31</v>
      </c>
      <c r="D651" s="444">
        <v>0</v>
      </c>
      <c r="E651" s="415" t="s">
        <v>1716</v>
      </c>
      <c r="F651" s="444">
        <v>2</v>
      </c>
      <c r="G651" s="415" t="s">
        <v>1661</v>
      </c>
      <c r="H651" s="444">
        <v>23</v>
      </c>
      <c r="I651" s="417" t="s">
        <v>1694</v>
      </c>
      <c r="J651" s="444">
        <v>1.1000000000000001</v>
      </c>
      <c r="K651" s="444">
        <v>861</v>
      </c>
      <c r="L651" s="444">
        <v>1</v>
      </c>
      <c r="M651" s="444">
        <v>0</v>
      </c>
      <c r="N651" s="444">
        <v>214</v>
      </c>
      <c r="O651" s="444">
        <v>0</v>
      </c>
      <c r="P651" s="444">
        <v>0</v>
      </c>
      <c r="Q651" s="444">
        <v>22</v>
      </c>
      <c r="R651" s="444">
        <v>21</v>
      </c>
      <c r="S651" s="444">
        <v>4</v>
      </c>
      <c r="T651" s="444">
        <v>78</v>
      </c>
      <c r="U651" s="444">
        <v>7</v>
      </c>
      <c r="V651" s="444">
        <v>4</v>
      </c>
      <c r="W651" s="444">
        <v>53</v>
      </c>
      <c r="X651" s="418"/>
      <c r="Y651" s="445"/>
      <c r="Z651" s="420"/>
      <c r="AA651" s="421">
        <v>81.450999999999993</v>
      </c>
      <c r="AB651" s="421">
        <v>42.46</v>
      </c>
      <c r="AC651" s="454">
        <v>95</v>
      </c>
      <c r="AE651" s="445" t="s">
        <v>2144</v>
      </c>
      <c r="AF651" s="454">
        <v>1</v>
      </c>
      <c r="AG651" s="548">
        <v>43101</v>
      </c>
      <c r="AJ651" s="549">
        <v>43222</v>
      </c>
      <c r="AL651" s="446" t="s">
        <v>1035</v>
      </c>
      <c r="AO651" s="445"/>
      <c r="AP651" s="454">
        <v>556617</v>
      </c>
      <c r="AQ651" s="550">
        <v>43077</v>
      </c>
      <c r="AT651" s="447"/>
      <c r="AU651" s="447"/>
      <c r="AV651" s="447"/>
      <c r="AY651" s="427" t="s">
        <v>1559</v>
      </c>
      <c r="AZ651" s="373"/>
      <c r="BB651" s="374" t="s">
        <v>1728</v>
      </c>
      <c r="BC651" s="445"/>
      <c r="BE651" s="448">
        <v>5</v>
      </c>
      <c r="BF651" s="449">
        <v>40</v>
      </c>
      <c r="BG651" s="450" t="s">
        <v>1764</v>
      </c>
      <c r="BH651" s="445"/>
      <c r="BI651" s="491"/>
      <c r="BJ651" s="491">
        <v>5</v>
      </c>
      <c r="BK651" s="445" t="s">
        <v>3433</v>
      </c>
      <c r="BL651" s="445" t="s">
        <v>3434</v>
      </c>
      <c r="BM651" s="445"/>
      <c r="BN651" s="445" t="s">
        <v>1765</v>
      </c>
      <c r="BO651" s="445" t="s">
        <v>1765</v>
      </c>
      <c r="BP651" s="445" t="s">
        <v>1765</v>
      </c>
      <c r="BQ651" s="445" t="s">
        <v>31</v>
      </c>
      <c r="BR651" s="445"/>
      <c r="BS651" s="445">
        <v>5</v>
      </c>
      <c r="BT651" s="445">
        <v>20</v>
      </c>
      <c r="BU651" s="445">
        <v>70</v>
      </c>
      <c r="BV651" s="445" t="s">
        <v>2716</v>
      </c>
      <c r="BW651" s="445" t="s">
        <v>2556</v>
      </c>
      <c r="BX651" s="445" t="s">
        <v>3307</v>
      </c>
      <c r="BY651" s="445"/>
    </row>
    <row r="652" spans="1:77" ht="15">
      <c r="B652" s="415"/>
      <c r="C652" s="416"/>
      <c r="D652" s="444"/>
      <c r="E652" s="415"/>
      <c r="F652" s="444"/>
      <c r="G652" s="415"/>
      <c r="H652" s="444"/>
      <c r="I652" s="417"/>
      <c r="J652" s="444"/>
      <c r="K652" s="444"/>
      <c r="L652" s="444"/>
      <c r="M652" s="444"/>
      <c r="N652" s="444"/>
      <c r="O652" s="444"/>
      <c r="P652" s="444"/>
      <c r="Q652" s="444"/>
      <c r="R652" s="444"/>
      <c r="S652" s="444"/>
      <c r="T652" s="444"/>
      <c r="U652" s="444"/>
      <c r="V652" s="444"/>
      <c r="W652" s="444"/>
      <c r="X652" s="418"/>
      <c r="Y652" s="445"/>
      <c r="Z652" s="420"/>
      <c r="AA652" s="421"/>
      <c r="AB652" s="421"/>
      <c r="AE652" s="445"/>
      <c r="AG652" s="548"/>
      <c r="AJ652" s="549"/>
      <c r="AL652" s="446"/>
      <c r="AO652" s="445"/>
      <c r="AQ652" s="550"/>
      <c r="AT652" s="447"/>
      <c r="AU652" s="447"/>
      <c r="AV652" s="447"/>
      <c r="AY652" s="427"/>
      <c r="AZ652" s="373"/>
      <c r="BC652" s="445"/>
      <c r="BE652" s="448"/>
      <c r="BF652" s="449"/>
      <c r="BG652" s="450"/>
      <c r="BH652" s="445"/>
      <c r="BI652" s="491"/>
      <c r="BJ652" s="491"/>
      <c r="BK652" s="445"/>
      <c r="BL652" s="445"/>
      <c r="BM652" s="445"/>
      <c r="BN652" s="445"/>
      <c r="BO652" s="445"/>
      <c r="BP652" s="445"/>
      <c r="BQ652" s="445"/>
      <c r="BR652" s="445"/>
      <c r="BS652" s="445"/>
      <c r="BT652" s="445"/>
      <c r="BU652" s="445"/>
      <c r="BV652" s="445"/>
      <c r="BW652" s="445"/>
      <c r="BX652" s="445"/>
      <c r="BY652" s="445"/>
    </row>
    <row r="653" spans="1:77" ht="15">
      <c r="B653" s="415"/>
      <c r="C653" s="416"/>
      <c r="D653" s="444"/>
      <c r="E653" s="415"/>
      <c r="F653" s="444"/>
      <c r="G653" s="415"/>
      <c r="H653" s="444"/>
      <c r="I653" s="417"/>
      <c r="J653" s="444"/>
      <c r="K653" s="444"/>
      <c r="L653" s="444"/>
      <c r="M653" s="444"/>
      <c r="N653" s="444"/>
      <c r="O653" s="444"/>
      <c r="P653" s="444"/>
      <c r="Q653" s="444"/>
      <c r="R653" s="444"/>
      <c r="S653" s="444"/>
      <c r="T653" s="444"/>
      <c r="U653" s="444"/>
      <c r="V653" s="444"/>
      <c r="W653" s="444"/>
      <c r="X653" s="418"/>
      <c r="Y653" s="445"/>
      <c r="Z653" s="420"/>
      <c r="AA653" s="421"/>
      <c r="AB653" s="421"/>
      <c r="AE653" s="445"/>
      <c r="AG653" s="548"/>
      <c r="AJ653" s="549"/>
      <c r="AL653" s="446"/>
      <c r="AO653" s="445"/>
      <c r="AQ653" s="550"/>
      <c r="AT653" s="447"/>
      <c r="AU653" s="447"/>
      <c r="AV653" s="447"/>
      <c r="AY653" s="427"/>
      <c r="AZ653" s="373"/>
      <c r="BC653" s="445"/>
      <c r="BE653" s="448"/>
      <c r="BF653" s="449"/>
      <c r="BG653" s="450"/>
      <c r="BH653" s="445"/>
      <c r="BI653" s="491"/>
      <c r="BJ653" s="491"/>
      <c r="BK653" s="445"/>
      <c r="BL653" s="445"/>
      <c r="BM653" s="445"/>
      <c r="BN653" s="445"/>
      <c r="BO653" s="445"/>
      <c r="BP653" s="445"/>
      <c r="BQ653" s="445"/>
      <c r="BR653" s="445"/>
      <c r="BS653" s="445"/>
      <c r="BT653" s="445"/>
      <c r="BU653" s="445"/>
      <c r="BV653" s="445"/>
      <c r="BW653" s="445"/>
      <c r="BX653" s="445"/>
      <c r="BY653" s="445"/>
    </row>
    <row r="654" spans="1:77" ht="15">
      <c r="B654" s="415"/>
      <c r="C654" s="416"/>
      <c r="D654" s="444"/>
      <c r="E654" s="415"/>
      <c r="F654" s="444"/>
      <c r="G654" s="415"/>
      <c r="H654" s="444"/>
      <c r="I654" s="417"/>
      <c r="J654" s="444"/>
      <c r="K654" s="444"/>
      <c r="L654" s="444"/>
      <c r="M654" s="444"/>
      <c r="N654" s="444"/>
      <c r="O654" s="444"/>
      <c r="P654" s="444"/>
      <c r="Q654" s="444"/>
      <c r="R654" s="444"/>
      <c r="S654" s="444"/>
      <c r="T654" s="444"/>
      <c r="U654" s="444"/>
      <c r="V654" s="444"/>
      <c r="W654" s="444"/>
      <c r="X654" s="418"/>
      <c r="Y654" s="445"/>
      <c r="Z654" s="420"/>
      <c r="AA654" s="421"/>
      <c r="AB654" s="421"/>
      <c r="AE654" s="445"/>
      <c r="AG654" s="548"/>
      <c r="AJ654" s="549"/>
      <c r="AL654" s="446"/>
      <c r="AO654" s="445"/>
      <c r="AQ654" s="550"/>
      <c r="AT654" s="447"/>
      <c r="AU654" s="447"/>
      <c r="AV654" s="447"/>
      <c r="AY654" s="427"/>
      <c r="AZ654" s="373"/>
      <c r="BC654" s="445"/>
      <c r="BE654" s="448"/>
      <c r="BF654" s="449"/>
      <c r="BG654" s="450"/>
      <c r="BH654" s="445"/>
      <c r="BI654" s="491"/>
      <c r="BJ654" s="491"/>
      <c r="BK654" s="445"/>
      <c r="BL654" s="445"/>
      <c r="BM654" s="445"/>
      <c r="BN654" s="445"/>
      <c r="BO654" s="445"/>
      <c r="BP654" s="445"/>
      <c r="BQ654" s="445"/>
      <c r="BR654" s="445"/>
      <c r="BS654" s="445"/>
      <c r="BT654" s="445"/>
      <c r="BU654" s="445"/>
      <c r="BV654" s="445"/>
      <c r="BW654" s="445"/>
      <c r="BX654" s="445"/>
      <c r="BY654" s="445"/>
    </row>
    <row r="655" spans="1:77" ht="15">
      <c r="B655" s="415"/>
      <c r="C655" s="416"/>
      <c r="D655" s="444"/>
      <c r="E655" s="415"/>
      <c r="F655" s="444"/>
      <c r="G655" s="415"/>
      <c r="H655" s="444"/>
      <c r="I655" s="417"/>
      <c r="J655" s="444"/>
      <c r="K655" s="444"/>
      <c r="L655" s="444"/>
      <c r="M655" s="444"/>
      <c r="N655" s="444"/>
      <c r="O655" s="444"/>
      <c r="P655" s="444"/>
      <c r="Q655" s="444"/>
      <c r="R655" s="444"/>
      <c r="S655" s="444"/>
      <c r="T655" s="444"/>
      <c r="U655" s="444"/>
      <c r="V655" s="444"/>
      <c r="W655" s="444"/>
      <c r="X655" s="418"/>
      <c r="Y655" s="445"/>
      <c r="Z655" s="420"/>
      <c r="AA655" s="421"/>
      <c r="AB655" s="421"/>
      <c r="AE655" s="445"/>
      <c r="AG655" s="548"/>
      <c r="AJ655" s="549"/>
      <c r="AL655" s="446"/>
      <c r="AO655" s="445"/>
      <c r="AQ655" s="550"/>
      <c r="AT655" s="447"/>
      <c r="AU655" s="447"/>
      <c r="AV655" s="447"/>
      <c r="AY655" s="427"/>
      <c r="AZ655" s="373"/>
      <c r="BC655" s="445"/>
      <c r="BE655" s="448"/>
      <c r="BF655" s="449"/>
      <c r="BG655" s="450"/>
      <c r="BH655" s="445"/>
      <c r="BI655" s="491"/>
      <c r="BJ655" s="491"/>
      <c r="BK655" s="445"/>
      <c r="BL655" s="445"/>
      <c r="BM655" s="445"/>
      <c r="BN655" s="445"/>
      <c r="BO655" s="445"/>
      <c r="BP655" s="445"/>
      <c r="BQ655" s="445"/>
      <c r="BR655" s="445"/>
      <c r="BS655" s="445"/>
      <c r="BT655" s="445"/>
      <c r="BU655" s="445"/>
      <c r="BV655" s="445"/>
      <c r="BW655" s="445"/>
      <c r="BX655" s="445"/>
      <c r="BY655" s="445"/>
    </row>
    <row r="656" spans="1:77" ht="15">
      <c r="B656" s="415"/>
      <c r="C656" s="416"/>
      <c r="D656" s="444"/>
      <c r="E656" s="415"/>
      <c r="F656" s="444"/>
      <c r="G656" s="415"/>
      <c r="H656" s="444"/>
      <c r="I656" s="417"/>
      <c r="J656" s="444"/>
      <c r="K656" s="444"/>
      <c r="L656" s="444"/>
      <c r="M656" s="444"/>
      <c r="N656" s="444"/>
      <c r="O656" s="444"/>
      <c r="P656" s="444"/>
      <c r="Q656" s="444"/>
      <c r="R656" s="444"/>
      <c r="S656" s="444"/>
      <c r="T656" s="444"/>
      <c r="U656" s="444"/>
      <c r="V656" s="444"/>
      <c r="W656" s="444"/>
      <c r="X656" s="418"/>
      <c r="Y656" s="445"/>
      <c r="Z656" s="420"/>
      <c r="AA656" s="421"/>
      <c r="AB656" s="421"/>
      <c r="AE656" s="445"/>
      <c r="AG656" s="548"/>
      <c r="AJ656" s="549"/>
      <c r="AL656" s="446"/>
      <c r="AO656" s="445"/>
      <c r="AQ656" s="550"/>
      <c r="AT656" s="447"/>
      <c r="AU656" s="447"/>
      <c r="AV656" s="447"/>
      <c r="AY656" s="427"/>
      <c r="AZ656" s="373"/>
      <c r="BC656" s="445"/>
      <c r="BE656" s="448"/>
      <c r="BF656" s="449"/>
      <c r="BG656" s="450"/>
      <c r="BH656" s="445"/>
      <c r="BI656" s="491"/>
      <c r="BJ656" s="491"/>
      <c r="BK656" s="445"/>
      <c r="BL656" s="445"/>
      <c r="BM656" s="445"/>
      <c r="BN656" s="445"/>
      <c r="BO656" s="445"/>
      <c r="BP656" s="445"/>
      <c r="BQ656" s="445"/>
      <c r="BR656" s="445"/>
      <c r="BS656" s="445"/>
      <c r="BT656" s="445"/>
      <c r="BU656" s="445"/>
      <c r="BV656" s="445"/>
      <c r="BW656" s="445"/>
      <c r="BX656" s="445"/>
      <c r="BY656" s="445"/>
    </row>
    <row r="657" spans="2:77" ht="15">
      <c r="B657" s="415"/>
      <c r="C657" s="416"/>
      <c r="D657" s="444"/>
      <c r="E657" s="415"/>
      <c r="F657" s="444"/>
      <c r="G657" s="415"/>
      <c r="H657" s="444"/>
      <c r="I657" s="417"/>
      <c r="J657" s="444"/>
      <c r="K657" s="444"/>
      <c r="L657" s="444"/>
      <c r="M657" s="444"/>
      <c r="N657" s="444"/>
      <c r="O657" s="444"/>
      <c r="P657" s="444"/>
      <c r="Q657" s="444"/>
      <c r="R657" s="444"/>
      <c r="S657" s="444"/>
      <c r="T657" s="444"/>
      <c r="U657" s="444"/>
      <c r="V657" s="444"/>
      <c r="W657" s="444"/>
      <c r="X657" s="418"/>
      <c r="Y657" s="445"/>
      <c r="Z657" s="420"/>
      <c r="AA657" s="421"/>
      <c r="AB657" s="421"/>
      <c r="AE657" s="445"/>
      <c r="AG657" s="548"/>
      <c r="AJ657" s="549"/>
      <c r="AL657" s="446"/>
      <c r="AO657" s="445"/>
      <c r="AQ657" s="550"/>
      <c r="AT657" s="447"/>
      <c r="AU657" s="447"/>
      <c r="AV657" s="447"/>
      <c r="AY657" s="427"/>
      <c r="AZ657" s="373"/>
      <c r="BC657" s="445"/>
      <c r="BE657" s="448"/>
      <c r="BF657" s="449"/>
      <c r="BG657" s="450"/>
      <c r="BH657" s="445"/>
      <c r="BI657" s="491"/>
      <c r="BJ657" s="491"/>
      <c r="BK657" s="445"/>
      <c r="BL657" s="445"/>
      <c r="BM657" s="445"/>
      <c r="BN657" s="445"/>
      <c r="BO657" s="445"/>
      <c r="BP657" s="445"/>
      <c r="BQ657" s="445"/>
      <c r="BR657" s="445"/>
      <c r="BS657" s="445"/>
      <c r="BT657" s="445"/>
      <c r="BU657" s="445"/>
      <c r="BV657" s="445"/>
      <c r="BW657" s="445"/>
      <c r="BX657" s="445"/>
      <c r="BY657" s="445"/>
    </row>
  </sheetData>
  <conditionalFormatting sqref="AH2:AH657">
    <cfRule type="duplicateValues" dxfId="17" priority="65" stopIfTrue="1"/>
  </conditionalFormatting>
  <conditionalFormatting sqref="AE1:AE64457">
    <cfRule type="duplicateValues" dxfId="16" priority="67" stopIfTrue="1"/>
  </conditionalFormatting>
  <dataValidations count="2">
    <dataValidation type="list" allowBlank="1" showInputMessage="1" showErrorMessage="1" sqref="C2:C657">
      <formula1>INDIRECT("ВідРубкиРД[6]")</formula1>
    </dataValidation>
    <dataValidation type="list" allowBlank="1" showInputMessage="1" showErrorMessage="1" sqref="E2:E657">
      <formula1>INDIRECT("ПородиИГруппи[список без груп порід]")</formula1>
    </dataValidation>
  </dataValidations>
  <hyperlinks>
    <hyperlink ref="AT1" r:id="rId1"/>
    <hyperlink ref="AT646" r:id="rId2"/>
  </hyperlinks>
  <pageMargins left="0.75" right="0.75" top="1" bottom="1" header="0.5" footer="0.5"/>
  <pageSetup paperSize="9" scale="10" orientation="portrait" horizontalDpi="200" verticalDpi="200" r:id="rId3"/>
  <headerFooter alignWithMargins="0"/>
  <drawing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[13]Мастера!#REF!</xm:f>
          </x14:formula1>
          <xm:sqref>AL5:AL91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T10"/>
  <sheetViews>
    <sheetView workbookViewId="0">
      <selection activeCell="A5" sqref="A5"/>
    </sheetView>
  </sheetViews>
  <sheetFormatPr defaultColWidth="8.85546875" defaultRowHeight="12.75"/>
  <cols>
    <col min="1" max="1" width="68" style="25" customWidth="1"/>
    <col min="2" max="2" width="21" style="42" customWidth="1"/>
    <col min="3" max="3" width="18" style="42" customWidth="1"/>
    <col min="4" max="4" width="22.28515625" style="42" customWidth="1"/>
    <col min="5" max="5" width="24" style="42" customWidth="1"/>
    <col min="6" max="6" width="22.28515625" style="42" customWidth="1"/>
    <col min="7" max="7" width="12.85546875" style="25" hidden="1" customWidth="1"/>
    <col min="8" max="8" width="15.28515625" style="25" hidden="1" customWidth="1"/>
    <col min="9" max="9" width="18.42578125" style="25" customWidth="1"/>
    <col min="10" max="10" width="22.140625" style="25" customWidth="1"/>
    <col min="11" max="11" width="23.140625" style="42" customWidth="1"/>
    <col min="12" max="12" width="32.28515625" style="42" customWidth="1"/>
    <col min="13" max="13" width="30.42578125" style="25" customWidth="1"/>
    <col min="14" max="14" width="21.42578125" style="25" customWidth="1"/>
    <col min="15" max="15" width="15.85546875" style="25" customWidth="1"/>
    <col min="16" max="16" width="14.85546875" style="25" customWidth="1"/>
    <col min="17" max="17" width="19" style="25" customWidth="1"/>
    <col min="18" max="18" width="18.5703125" style="44" customWidth="1"/>
    <col min="19" max="19" width="13.140625" style="25" customWidth="1"/>
    <col min="20" max="20" width="21.28515625" style="25" customWidth="1"/>
    <col min="21" max="16384" width="8.85546875" style="25"/>
  </cols>
  <sheetData>
    <row r="1" spans="1:20" ht="14.25">
      <c r="A1" s="348" t="s">
        <v>875</v>
      </c>
      <c r="B1" s="349" t="s">
        <v>1140</v>
      </c>
      <c r="C1" s="349" t="s">
        <v>1302</v>
      </c>
      <c r="D1" s="349" t="s">
        <v>1303</v>
      </c>
      <c r="E1" s="350" t="s">
        <v>1220</v>
      </c>
      <c r="F1" s="349" t="s">
        <v>1304</v>
      </c>
      <c r="G1" s="351" t="s">
        <v>1305</v>
      </c>
      <c r="H1" s="351" t="s">
        <v>1306</v>
      </c>
      <c r="I1" s="352" t="s">
        <v>1149</v>
      </c>
      <c r="J1" s="351" t="s">
        <v>1307</v>
      </c>
      <c r="K1" s="349" t="s">
        <v>1308</v>
      </c>
      <c r="L1" s="349" t="s">
        <v>1301</v>
      </c>
      <c r="M1" s="351" t="s">
        <v>1309</v>
      </c>
      <c r="N1" s="351" t="s">
        <v>1314</v>
      </c>
      <c r="O1" s="351" t="s">
        <v>1310</v>
      </c>
      <c r="P1" s="351" t="s">
        <v>1311</v>
      </c>
      <c r="Q1" s="351" t="s">
        <v>1200</v>
      </c>
      <c r="R1" s="353" t="s">
        <v>1199</v>
      </c>
      <c r="S1" s="351" t="s">
        <v>939</v>
      </c>
      <c r="T1" s="351" t="s">
        <v>940</v>
      </c>
    </row>
    <row r="2" spans="1:20" ht="115.5">
      <c r="A2" s="324" t="s">
        <v>1662</v>
      </c>
      <c r="B2" s="325" t="s">
        <v>1672</v>
      </c>
      <c r="C2" s="325" t="s">
        <v>1673</v>
      </c>
      <c r="D2" s="325" t="s">
        <v>942</v>
      </c>
      <c r="E2" s="325" t="s">
        <v>1690</v>
      </c>
      <c r="F2" s="325"/>
      <c r="G2" s="325" t="s">
        <v>950</v>
      </c>
      <c r="H2" s="326"/>
      <c r="I2" s="331" t="s">
        <v>1691</v>
      </c>
      <c r="J2" s="325" t="s">
        <v>945</v>
      </c>
      <c r="K2" s="325" t="s">
        <v>1674</v>
      </c>
      <c r="L2" s="325" t="s">
        <v>1672</v>
      </c>
      <c r="M2" s="325" t="s">
        <v>1675</v>
      </c>
      <c r="N2" s="327" t="s">
        <v>1678</v>
      </c>
      <c r="O2" s="327" t="s">
        <v>1677</v>
      </c>
      <c r="P2" s="327">
        <v>37960538</v>
      </c>
      <c r="Q2" s="328" t="s">
        <v>1680</v>
      </c>
      <c r="R2" s="328" t="s">
        <v>1679</v>
      </c>
      <c r="S2" s="326">
        <v>1.2124999999999999</v>
      </c>
      <c r="T2" s="326"/>
    </row>
    <row r="3" spans="1:20" ht="112.5" customHeight="1">
      <c r="A3" s="329" t="s">
        <v>497</v>
      </c>
      <c r="B3" s="330" t="s">
        <v>946</v>
      </c>
      <c r="C3" s="331" t="s">
        <v>947</v>
      </c>
      <c r="D3" s="332" t="s">
        <v>942</v>
      </c>
      <c r="E3" s="332" t="s">
        <v>948</v>
      </c>
      <c r="F3" s="332" t="s">
        <v>944</v>
      </c>
      <c r="G3" s="333"/>
      <c r="H3" s="333"/>
      <c r="I3" s="331" t="s">
        <v>1315</v>
      </c>
      <c r="J3" s="333" t="s">
        <v>945</v>
      </c>
      <c r="K3" s="334" t="s">
        <v>1219</v>
      </c>
      <c r="L3" s="332" t="s">
        <v>949</v>
      </c>
      <c r="M3" s="333" t="s">
        <v>1280</v>
      </c>
      <c r="N3" s="335" t="s">
        <v>1258</v>
      </c>
      <c r="O3" s="335" t="s">
        <v>1281</v>
      </c>
      <c r="P3" s="335">
        <v>36775906</v>
      </c>
      <c r="Q3" s="336" t="s">
        <v>1277</v>
      </c>
      <c r="R3" s="337" t="s">
        <v>1279</v>
      </c>
      <c r="S3" s="333">
        <v>1.26</v>
      </c>
      <c r="T3" s="333"/>
    </row>
    <row r="4" spans="1:20" s="440" customFormat="1" ht="103.5" customHeight="1">
      <c r="A4" s="435" t="s">
        <v>1559</v>
      </c>
      <c r="B4" s="436" t="s">
        <v>431</v>
      </c>
      <c r="C4" s="437" t="s">
        <v>941</v>
      </c>
      <c r="D4" s="437" t="s">
        <v>942</v>
      </c>
      <c r="E4" s="437" t="s">
        <v>943</v>
      </c>
      <c r="F4" s="437" t="s">
        <v>944</v>
      </c>
      <c r="G4" s="438"/>
      <c r="H4" s="438"/>
      <c r="I4" s="437" t="s">
        <v>1316</v>
      </c>
      <c r="J4" s="438" t="s">
        <v>945</v>
      </c>
      <c r="K4" s="437" t="s">
        <v>1218</v>
      </c>
      <c r="L4" s="437" t="s">
        <v>431</v>
      </c>
      <c r="M4" s="438" t="s">
        <v>2216</v>
      </c>
      <c r="N4" s="434" t="s">
        <v>1259</v>
      </c>
      <c r="O4" s="434" t="s">
        <v>2211</v>
      </c>
      <c r="P4" s="434">
        <v>2973118134</v>
      </c>
      <c r="Q4" s="439" t="s">
        <v>2212</v>
      </c>
      <c r="R4" s="438" t="s">
        <v>1278</v>
      </c>
      <c r="S4" s="438">
        <v>1.26</v>
      </c>
      <c r="T4" s="438"/>
    </row>
    <row r="5" spans="1:20" ht="81.75" customHeight="1">
      <c r="A5" s="354" t="s">
        <v>1720</v>
      </c>
      <c r="B5" s="332" t="s">
        <v>1626</v>
      </c>
      <c r="C5" s="332" t="s">
        <v>1625</v>
      </c>
      <c r="D5" s="332" t="s">
        <v>942</v>
      </c>
      <c r="E5" s="332" t="s">
        <v>1627</v>
      </c>
      <c r="F5" s="332" t="s">
        <v>944</v>
      </c>
      <c r="G5" s="333"/>
      <c r="H5" s="333"/>
      <c r="I5" s="332" t="s">
        <v>1699</v>
      </c>
      <c r="J5" s="333" t="s">
        <v>945</v>
      </c>
      <c r="K5" s="355" t="s">
        <v>1628</v>
      </c>
      <c r="L5" s="332" t="s">
        <v>1626</v>
      </c>
      <c r="M5" s="332" t="s">
        <v>1629</v>
      </c>
      <c r="N5" s="335" t="s">
        <v>1676</v>
      </c>
      <c r="O5" s="335" t="s">
        <v>1781</v>
      </c>
      <c r="P5" s="335">
        <v>3081817929</v>
      </c>
      <c r="Q5" s="333" t="s">
        <v>1630</v>
      </c>
      <c r="R5" s="337" t="s">
        <v>1666</v>
      </c>
      <c r="S5" s="333">
        <v>1.125</v>
      </c>
      <c r="T5" s="333"/>
    </row>
    <row r="6" spans="1:20" ht="15">
      <c r="A6" t="s">
        <v>1722</v>
      </c>
      <c r="B6" s="314" t="s">
        <v>1698</v>
      </c>
      <c r="C6" t="s">
        <v>1702</v>
      </c>
      <c r="D6" t="s">
        <v>942</v>
      </c>
      <c r="E6" t="s">
        <v>1709</v>
      </c>
      <c r="F6" t="s">
        <v>944</v>
      </c>
      <c r="G6"/>
      <c r="H6"/>
      <c r="I6" s="314" t="s">
        <v>1707</v>
      </c>
      <c r="J6" t="s">
        <v>944</v>
      </c>
      <c r="K6" t="s">
        <v>1703</v>
      </c>
      <c r="L6" t="s">
        <v>1700</v>
      </c>
      <c r="M6" t="s">
        <v>1704</v>
      </c>
      <c r="N6">
        <v>3315517819</v>
      </c>
      <c r="O6" t="s">
        <v>1706</v>
      </c>
      <c r="P6">
        <v>3315517819</v>
      </c>
      <c r="Q6" t="s">
        <v>1708</v>
      </c>
      <c r="R6" t="s">
        <v>1701</v>
      </c>
      <c r="S6" t="s">
        <v>1705</v>
      </c>
      <c r="T6"/>
    </row>
    <row r="7" spans="1:20" ht="90">
      <c r="A7" s="339" t="s">
        <v>1717</v>
      </c>
      <c r="B7" s="69" t="s">
        <v>1729</v>
      </c>
      <c r="C7" s="69" t="s">
        <v>1673</v>
      </c>
      <c r="D7" s="69" t="s">
        <v>942</v>
      </c>
      <c r="E7" s="69" t="s">
        <v>1690</v>
      </c>
      <c r="F7" s="69" t="s">
        <v>944</v>
      </c>
      <c r="G7" s="68"/>
      <c r="H7" s="68"/>
      <c r="I7" s="69" t="s">
        <v>1691</v>
      </c>
      <c r="J7" s="68" t="s">
        <v>944</v>
      </c>
      <c r="K7" s="70" t="s">
        <v>1778</v>
      </c>
      <c r="L7" s="69" t="s">
        <v>1729</v>
      </c>
      <c r="M7" s="42" t="s">
        <v>1710</v>
      </c>
      <c r="N7" s="71">
        <v>40955161</v>
      </c>
      <c r="O7" s="71" t="s">
        <v>1779</v>
      </c>
      <c r="P7" s="71" t="s">
        <v>1745</v>
      </c>
      <c r="Q7" s="68" t="s">
        <v>1776</v>
      </c>
      <c r="R7" s="72" t="s">
        <v>1774</v>
      </c>
      <c r="S7" s="318">
        <v>1.2150000000000001</v>
      </c>
      <c r="T7" s="68"/>
    </row>
    <row r="8" spans="1:20">
      <c r="A8" s="323"/>
      <c r="G8" s="68"/>
    </row>
    <row r="9" spans="1:20">
      <c r="A9" s="68"/>
      <c r="G9" s="68"/>
    </row>
    <row r="10" spans="1:20">
      <c r="A10" s="68"/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FF00"/>
  </sheetPr>
  <dimension ref="A1:M142"/>
  <sheetViews>
    <sheetView topLeftCell="A22" zoomScaleNormal="100" workbookViewId="0">
      <selection activeCell="E51" sqref="E51"/>
    </sheetView>
  </sheetViews>
  <sheetFormatPr defaultRowHeight="15" outlineLevelRow="1"/>
  <cols>
    <col min="1" max="1" width="27.85546875" style="1" customWidth="1"/>
    <col min="2" max="2" width="69.42578125" customWidth="1"/>
    <col min="3" max="3" width="30.28515625" style="73" customWidth="1"/>
    <col min="4" max="4" width="32.140625" style="73" customWidth="1"/>
    <col min="5" max="5" width="39.5703125" style="73" customWidth="1"/>
    <col min="6" max="6" width="13.5703125" style="73" customWidth="1"/>
    <col min="9" max="9" width="10.28515625" bestFit="1" customWidth="1"/>
  </cols>
  <sheetData>
    <row r="1" spans="1:13">
      <c r="A1" s="142" t="s">
        <v>1154</v>
      </c>
      <c r="B1" s="142" t="s">
        <v>1155</v>
      </c>
      <c r="C1" s="226" t="s">
        <v>1271</v>
      </c>
      <c r="D1" s="227" t="s">
        <v>1272</v>
      </c>
      <c r="E1" s="222" t="s">
        <v>1481</v>
      </c>
    </row>
    <row r="2" spans="1:13">
      <c r="A2" s="176" t="s">
        <v>1524</v>
      </c>
      <c r="B2" s="257" t="s">
        <v>1525</v>
      </c>
      <c r="C2" s="246"/>
      <c r="D2" s="247"/>
      <c r="E2" s="248" t="s">
        <v>1526</v>
      </c>
    </row>
    <row r="3" spans="1:13" ht="32.25" customHeight="1" thickBot="1">
      <c r="A3" s="176" t="s">
        <v>1527</v>
      </c>
      <c r="B3" s="257" t="str">
        <f>REPLACE(fПолнаяДіл,FIND(".",fПолнаяДіл,1),1," ") &amp; "-" &amp; fDot&amp; "-" &amp; f№ЛК&amp;".doc"</f>
        <v>16 кв (5 вид) 0 діл -Комплект-556617.doc</v>
      </c>
      <c r="C3" s="246"/>
      <c r="D3" s="247"/>
      <c r="E3" s="248"/>
      <c r="F3" s="543" t="str">
        <f>getReferToNamedRangeByName(LeterАсtiveSheet(B4)&amp;fВидШаблона&amp;"_кошторис")</f>
        <v>='РГК_кошторис (2)'!$A$4:$J$19</v>
      </c>
      <c r="G3" t="str">
        <f>REGPLACE(getReferToNamedRangeByName(LeterАсtiveSheet(B4)&amp;fВидШаблона&amp;"_кошторис"),".+!","")</f>
        <v>$A$4:$J$19</v>
      </c>
      <c r="H3" s="286" t="str">
        <f>"&lt;ExcelTable&gt;/"&amp;fВидШаблона&amp;"_кошторис"&amp;"/"&amp;REGPLACE(getReferToNamedRangeByName(LeterАсtiveSheet(B4)&amp;fВидШаблона&amp;"_кошторис"),".+!","")&amp;fВидШаблона&amp;"_кошторис"&amp;"/Word"</f>
        <v>&lt;ExcelTable&gt;/РГК_кошторис/$A$4:$J$19РГК_кошторис/Word</v>
      </c>
    </row>
    <row r="4" spans="1:13" ht="15.75" thickBot="1">
      <c r="A4" s="176" t="s">
        <v>1282</v>
      </c>
      <c r="B4" s="213" t="s">
        <v>31</v>
      </c>
      <c r="C4" s="228"/>
      <c r="D4" s="167"/>
      <c r="E4" s="223" t="s">
        <v>1439</v>
      </c>
      <c r="G4" s="1"/>
      <c r="J4" s="73"/>
      <c r="K4" s="73"/>
      <c r="L4" s="73"/>
      <c r="M4" s="73"/>
    </row>
    <row r="5" spans="1:13">
      <c r="A5" s="146" t="s">
        <v>12</v>
      </c>
      <c r="B5" s="156" t="s">
        <v>11</v>
      </c>
      <c r="C5" s="166"/>
      <c r="D5" s="167"/>
      <c r="E5" s="223"/>
    </row>
    <row r="6" spans="1:13" ht="30" outlineLevel="1">
      <c r="A6" s="147" t="s">
        <v>1297</v>
      </c>
      <c r="B6" s="157" t="str">
        <f>VLOOKUP(fДЛГ,ДЛГ!$A$2:$N$2,COLUMN(ДЛГ!$I$2:$I$2),TRUE)</f>
        <v xml:space="preserve"> Черкаська обл.м. Звенигородський р-н  с.Козацьке пров.Жовтневий,буд 1А.,20240</v>
      </c>
      <c r="C6" s="166"/>
      <c r="D6" s="167"/>
      <c r="E6" s="223"/>
    </row>
    <row r="7" spans="1:13" ht="15.75" outlineLevel="1">
      <c r="A7" s="147" t="s">
        <v>1298</v>
      </c>
      <c r="B7" s="158" t="str">
        <f>VLOOKUP(fДЛГ,ДЛГ!$A$2:$N$2,COLUMN(ДЛГ!$L$2:$L$2),TRUE)</f>
        <v>00993426</v>
      </c>
      <c r="C7" s="166"/>
      <c r="D7" s="167"/>
      <c r="E7" s="223"/>
    </row>
    <row r="8" spans="1:13" ht="15.75" outlineLevel="1">
      <c r="A8" s="147" t="s">
        <v>1299</v>
      </c>
      <c r="B8" s="158" t="str">
        <f>VLOOKUP(fДЛГ,ДЛГ!$A$2:$N$2,COLUMN(ДЛГ!$K$2:$K$2),TRUE)</f>
        <v>№ 26001110547  в Звенигородському відділенні ПАТ АБ «Укргазбанк»,</v>
      </c>
      <c r="C8" s="166"/>
      <c r="D8" s="167"/>
      <c r="E8" s="223"/>
    </row>
    <row r="9" spans="1:13" ht="15.75" outlineLevel="1">
      <c r="A9" s="147" t="s">
        <v>1300</v>
      </c>
      <c r="B9" s="158" t="str">
        <f>VLOOKUP(fДЛГ,ДЛГ!$A$2:$N$2,COLUMN(ДЛГ!$N$2:$N$2),TRUE)</f>
        <v xml:space="preserve"> 320478 св.№ 100247990 под. № 009934223123</v>
      </c>
      <c r="C9" s="166"/>
      <c r="D9" s="167"/>
      <c r="E9" s="223"/>
    </row>
    <row r="10" spans="1:13" outlineLevel="1">
      <c r="A10" s="148" t="s">
        <v>1157</v>
      </c>
      <c r="B10" s="158" t="str">
        <f>VLOOKUP(fДЛГ,ДЛГ!$A$2:$N$2,2,TRUE)</f>
        <v>А.П. Проценко</v>
      </c>
      <c r="C10" s="166"/>
      <c r="D10" s="167"/>
      <c r="E10" s="223"/>
    </row>
    <row r="11" spans="1:13" outlineLevel="1">
      <c r="A11" s="149" t="s">
        <v>1222</v>
      </c>
      <c r="B11" s="158" t="str">
        <f>VLOOKUP(fДЛГ,ДЛГ!$A$2:$N$2,COLUMN(ДЛГ!$G$2:$G$2),TRUE)</f>
        <v>Проценко Анатолія Петровича</v>
      </c>
      <c r="C11" s="166"/>
      <c r="D11" s="167"/>
      <c r="E11" s="223"/>
    </row>
    <row r="12" spans="1:13" outlineLevel="1">
      <c r="A12" s="150" t="s">
        <v>1158</v>
      </c>
      <c r="B12" s="158" t="str">
        <f>VLOOKUP(fДЛГ,ДЛГ!$A$2:$N$2,COLUMN(ДЛГ!$D$2:$D$2),TRUE)</f>
        <v>Директор</v>
      </c>
      <c r="C12" s="166"/>
      <c r="D12" s="167"/>
      <c r="E12" s="223"/>
    </row>
    <row r="13" spans="1:13" outlineLevel="1">
      <c r="A13" s="151" t="s">
        <v>988</v>
      </c>
      <c r="B13" s="158" t="str">
        <f>VLOOKUP(fДЛГ,ДЛГ!$A$2:$N$2,COLUMN(ДЛГ!$M$2:$M$2),TRUE)</f>
        <v>м. Звенигородка</v>
      </c>
      <c r="C13" s="166"/>
      <c r="D13" s="167"/>
      <c r="E13" s="223"/>
    </row>
    <row r="14" spans="1:13" ht="15.75" outlineLevel="1" thickBot="1">
      <c r="A14" s="151" t="s">
        <v>1223</v>
      </c>
      <c r="B14" s="159" t="str">
        <f>VLOOKUP(fДЛГ,ДЛГ!$A$2:$N$2,COLUMN(ДЛГ!$H$2:$H$2),TRUE)</f>
        <v>директора</v>
      </c>
      <c r="C14" s="166"/>
      <c r="D14" s="167"/>
      <c r="E14" s="223"/>
    </row>
    <row r="15" spans="1:13">
      <c r="A15" s="143" t="s">
        <v>15</v>
      </c>
      <c r="B15" s="214" t="s">
        <v>31</v>
      </c>
      <c r="C15" s="168"/>
      <c r="D15" s="167"/>
      <c r="E15" s="223" t="s">
        <v>1440</v>
      </c>
    </row>
    <row r="16" spans="1:13" ht="15" customHeight="1">
      <c r="A16" s="145" t="s">
        <v>10</v>
      </c>
      <c r="B16" s="269" t="s">
        <v>132</v>
      </c>
      <c r="C16" s="169" t="str">
        <f>VLOOKUP(fЛісництво,Лісництва!$A$2:$J$7,2,TRUE)</f>
        <v>Коз</v>
      </c>
      <c r="D16" s="167"/>
      <c r="E16" s="223" t="s">
        <v>1441</v>
      </c>
      <c r="F16" s="278"/>
      <c r="G16" s="279"/>
    </row>
    <row r="17" spans="1:10" outlineLevel="1">
      <c r="A17" s="145" t="s">
        <v>9</v>
      </c>
      <c r="B17" s="161" t="str">
        <f>VLOOKUP(fЛісництво,Лісництва!$A$2:$J$7,3,TRUE)</f>
        <v>Козачанського Лісництва</v>
      </c>
      <c r="C17" s="166"/>
      <c r="D17" s="170"/>
      <c r="E17" s="223"/>
    </row>
    <row r="18" spans="1:10" ht="15.75" outlineLevel="1" thickBot="1">
      <c r="A18" s="145" t="s">
        <v>879</v>
      </c>
      <c r="B18" s="161" t="str">
        <f>VLOOKUP(fЛісництво,Лісництва!$A$2:$J$7,8,TRUE)</f>
        <v>Козачанському</v>
      </c>
      <c r="C18" s="272"/>
      <c r="D18" s="272"/>
      <c r="E18" s="272"/>
    </row>
    <row r="19" spans="1:10" ht="32.450000000000003" customHeight="1" thickBot="1">
      <c r="A19" s="145" t="s">
        <v>1528</v>
      </c>
      <c r="B19" s="277" t="str">
        <f>fКвартал &amp; " кв (" &amp;fВидел&amp; " вид) "&amp; TEXT(IF(fДілянка="__",0,fДілянка),"0") &amp;" діл."</f>
        <v>16 кв (5 вид) 0 діл.</v>
      </c>
      <c r="C19" s="272"/>
      <c r="D19" s="272"/>
      <c r="E19" s="272" t="s">
        <v>1523</v>
      </c>
    </row>
    <row r="20" spans="1:10">
      <c r="A20" s="145" t="s">
        <v>1557</v>
      </c>
      <c r="B20" s="263"/>
      <c r="C20" s="272"/>
      <c r="D20" s="272"/>
      <c r="E20" s="272"/>
    </row>
    <row r="21" spans="1:10">
      <c r="A21" s="145" t="s">
        <v>5</v>
      </c>
      <c r="B21" s="463">
        <v>16</v>
      </c>
      <c r="C21" s="272"/>
      <c r="D21" s="236"/>
      <c r="E21" s="223" t="s">
        <v>1482</v>
      </c>
    </row>
    <row r="22" spans="1:10">
      <c r="A22" s="145" t="s">
        <v>389</v>
      </c>
      <c r="B22" s="463">
        <v>5</v>
      </c>
      <c r="C22" s="272"/>
      <c r="D22" s="223"/>
      <c r="E22" s="223" t="s">
        <v>1483</v>
      </c>
    </row>
    <row r="23" spans="1:10">
      <c r="A23" s="145" t="s">
        <v>4</v>
      </c>
      <c r="B23" s="463">
        <v>0</v>
      </c>
      <c r="C23" s="166"/>
      <c r="D23" s="167" t="str">
        <f>TEXT(IF(fДілянка="__",0,fДілянка),"0")</f>
        <v>0</v>
      </c>
      <c r="E23" s="223" t="s">
        <v>1484</v>
      </c>
    </row>
    <row r="24" spans="1:10">
      <c r="A24" s="145" t="s">
        <v>3</v>
      </c>
      <c r="B24" s="463">
        <v>0.4</v>
      </c>
      <c r="C24" s="171"/>
      <c r="D24" s="167"/>
      <c r="E24" s="223" t="s">
        <v>1444</v>
      </c>
    </row>
    <row r="25" spans="1:10">
      <c r="A25" s="221" t="s">
        <v>1513</v>
      </c>
      <c r="B25" s="462">
        <f>B45</f>
        <v>140</v>
      </c>
      <c r="C25" s="273"/>
      <c r="D25" s="167"/>
      <c r="E25" s="223" t="s">
        <v>1475</v>
      </c>
    </row>
    <row r="26" spans="1:10" ht="30.75" customHeight="1">
      <c r="A26" s="209" t="s">
        <v>1402</v>
      </c>
      <c r="B26" s="463">
        <v>8</v>
      </c>
      <c r="C26" s="171"/>
      <c r="D26" s="167"/>
      <c r="E26" s="223" t="s">
        <v>1474</v>
      </c>
      <c r="J26">
        <f>140/60000*100</f>
        <v>0.23333333333333336</v>
      </c>
    </row>
    <row r="27" spans="1:10">
      <c r="A27" s="145" t="s">
        <v>1276</v>
      </c>
      <c r="B27" s="463">
        <v>7</v>
      </c>
      <c r="C27" s="171"/>
      <c r="D27" s="167"/>
      <c r="E27" s="223" t="s">
        <v>1485</v>
      </c>
    </row>
    <row r="28" spans="1:10" s="281" customFormat="1">
      <c r="A28" s="295"/>
      <c r="B28" s="296"/>
      <c r="C28" s="196"/>
      <c r="D28" s="197"/>
      <c r="E28" s="280"/>
    </row>
    <row r="29" spans="1:10" ht="15.75" outlineLevel="1" thickBot="1">
      <c r="A29" s="145" t="s">
        <v>1367</v>
      </c>
      <c r="B29" s="160"/>
      <c r="C29" s="171" t="s">
        <v>1354</v>
      </c>
      <c r="D29" s="167"/>
      <c r="E29" s="223"/>
    </row>
    <row r="30" spans="1:10" ht="16.5" outlineLevel="1" thickBot="1">
      <c r="A30" s="203" t="s">
        <v>1356</v>
      </c>
      <c r="B30" s="160"/>
      <c r="C30" s="171"/>
      <c r="D30" s="167"/>
      <c r="E30" s="223"/>
    </row>
    <row r="31" spans="1:10" ht="16.5" outlineLevel="1" thickBot="1">
      <c r="A31" s="203" t="s">
        <v>1357</v>
      </c>
      <c r="B31" s="160"/>
      <c r="C31" s="171"/>
      <c r="D31" s="167"/>
      <c r="E31" s="223"/>
      <c r="F31" s="73" t="s">
        <v>1479</v>
      </c>
      <c r="G31" s="456">
        <v>2018</v>
      </c>
      <c r="H31" s="314" t="s">
        <v>1791</v>
      </c>
    </row>
    <row r="32" spans="1:10" ht="32.25" outlineLevel="1" thickBot="1">
      <c r="A32" s="203" t="s">
        <v>1368</v>
      </c>
      <c r="B32" s="160"/>
      <c r="C32" s="229" t="s">
        <v>1358</v>
      </c>
      <c r="D32" s="167"/>
      <c r="E32" s="223"/>
    </row>
    <row r="33" spans="1:9" ht="16.5" outlineLevel="1" thickBot="1">
      <c r="A33" s="203" t="s">
        <v>1359</v>
      </c>
      <c r="B33" s="160"/>
      <c r="C33" s="171"/>
      <c r="D33" s="167"/>
      <c r="E33" s="223"/>
    </row>
    <row r="34" spans="1:9" ht="16.5" outlineLevel="1" thickBot="1">
      <c r="A34" s="203" t="s">
        <v>1360</v>
      </c>
      <c r="B34" s="160"/>
      <c r="C34" s="171"/>
      <c r="D34" s="167"/>
      <c r="E34" s="223"/>
    </row>
    <row r="35" spans="1:9" ht="32.25" outlineLevel="1" thickBot="1">
      <c r="A35" s="203" t="s">
        <v>1369</v>
      </c>
      <c r="B35" s="160"/>
      <c r="C35" s="171"/>
      <c r="D35" s="167"/>
      <c r="E35" s="223"/>
    </row>
    <row r="36" spans="1:9" ht="16.5" outlineLevel="1" thickBot="1">
      <c r="A36" s="203" t="s">
        <v>1361</v>
      </c>
      <c r="B36" s="463">
        <v>2</v>
      </c>
      <c r="C36" s="171"/>
      <c r="D36" s="167"/>
      <c r="E36" s="223" t="s">
        <v>1442</v>
      </c>
    </row>
    <row r="37" spans="1:9" ht="16.5" outlineLevel="1" thickBot="1">
      <c r="A37" s="203" t="s">
        <v>1362</v>
      </c>
      <c r="B37" s="376"/>
      <c r="C37" s="171"/>
      <c r="D37" s="167"/>
      <c r="E37" s="223"/>
    </row>
    <row r="38" spans="1:9" ht="16.5" outlineLevel="1" thickBot="1">
      <c r="A38" s="203" t="s">
        <v>1363</v>
      </c>
      <c r="B38" s="376" t="s">
        <v>1661</v>
      </c>
      <c r="C38" s="171"/>
      <c r="D38" s="167"/>
      <c r="E38" s="223" t="s">
        <v>1443</v>
      </c>
    </row>
    <row r="39" spans="1:9" ht="16.5" outlineLevel="1" thickBot="1">
      <c r="A39" s="203" t="s">
        <v>1370</v>
      </c>
      <c r="B39" s="463">
        <v>161</v>
      </c>
      <c r="C39" s="171"/>
      <c r="D39" s="167"/>
      <c r="E39" s="223" t="s">
        <v>1445</v>
      </c>
    </row>
    <row r="40" spans="1:9" ht="16.5" outlineLevel="1" thickBot="1">
      <c r="A40" s="204" t="s">
        <v>1364</v>
      </c>
      <c r="B40" s="377"/>
      <c r="C40" s="171"/>
      <c r="D40" s="167"/>
      <c r="E40" s="223" t="s">
        <v>1446</v>
      </c>
    </row>
    <row r="41" spans="1:9" ht="16.5" thickBot="1">
      <c r="A41" s="198" t="s">
        <v>1365</v>
      </c>
      <c r="B41" s="378"/>
      <c r="C41" s="196"/>
      <c r="D41" s="197"/>
      <c r="E41" s="223"/>
    </row>
    <row r="42" spans="1:9" ht="15.75">
      <c r="A42" s="191" t="s">
        <v>1371</v>
      </c>
      <c r="B42" s="468">
        <f>fДілової_Вибір</f>
        <v>46</v>
      </c>
      <c r="C42" s="605">
        <v>46</v>
      </c>
      <c r="D42" s="543">
        <f>IF(fВидШаблона="Молодняк",fДілової+fДровяної+fХмизу,fДілової+fДровяної)</f>
        <v>140</v>
      </c>
      <c r="E42" s="223" t="s">
        <v>1517</v>
      </c>
      <c r="F42" s="223" t="s">
        <v>1568</v>
      </c>
      <c r="H42" s="262" t="e">
        <f>ПоискСоСмещением(#REF!,fПолнаяДіл,0,5)</f>
        <v>#VALUE!</v>
      </c>
      <c r="I42" s="271" t="e">
        <f ca="1">HYPERLINK(ЛистРеестрЛК&amp;ADDRESS(MATCH(fПолнаяДіл,#REF!,0),1),INDIRECT(CHAR(39) &amp;"Реестр_ЛК" &amp; CHAR(39)&amp; "!" &amp; ADDRESS(MATCH(fПолнаяДіл,#REF!,0),11)))</f>
        <v>#NAME?</v>
      </c>
    </row>
    <row r="43" spans="1:9" ht="15.75">
      <c r="A43" s="191" t="s">
        <v>1372</v>
      </c>
      <c r="B43" s="468">
        <f>fДровяної_Вибір</f>
        <v>94</v>
      </c>
      <c r="C43" s="433">
        <v>94</v>
      </c>
      <c r="D43" s="545"/>
      <c r="E43" s="223" t="s">
        <v>1518</v>
      </c>
      <c r="F43" s="223" t="s">
        <v>1569</v>
      </c>
      <c r="H43" s="262" t="e">
        <f>ПоискСоСмещением(#REF!,fПолнаяДіл,0,6)</f>
        <v>#VALUE!</v>
      </c>
    </row>
    <row r="44" spans="1:9" ht="15.75">
      <c r="A44" s="191" t="s">
        <v>1373</v>
      </c>
      <c r="B44" s="468">
        <f>fХмизу_Вибір</f>
        <v>8</v>
      </c>
      <c r="C44" s="540">
        <v>8</v>
      </c>
      <c r="D44" s="544">
        <f>CODE("'")</f>
        <v>39</v>
      </c>
      <c r="E44" s="223" t="s">
        <v>1567</v>
      </c>
      <c r="F44" s="223" t="s">
        <v>1570</v>
      </c>
      <c r="G44" s="73" t="e">
        <f>ЛистРеестрЛК</f>
        <v>#NAME?</v>
      </c>
    </row>
    <row r="45" spans="1:9" ht="31.5">
      <c r="A45" s="193" t="s">
        <v>1366</v>
      </c>
      <c r="B45" s="469">
        <f>IF(fВидШаблона="Молодняки",fДілової+fДровяної+fХмизу,fДілової+fДровяної)</f>
        <v>140</v>
      </c>
      <c r="C45" s="261" t="e">
        <f>H42+H43</f>
        <v>#VALUE!</v>
      </c>
      <c r="D45" s="268" t="s">
        <v>1432</v>
      </c>
      <c r="E45" s="223"/>
      <c r="F45" s="73" t="str">
        <f>NewFaleName()</f>
        <v>16 кв (5 вид) 0 діл-Комплект-556617-РГК-РГК</v>
      </c>
    </row>
    <row r="46" spans="1:9" ht="16.5" thickBot="1">
      <c r="A46" s="199" t="s">
        <v>1617</v>
      </c>
      <c r="B46" s="470">
        <f>IF(fВидШаблона="Молодняки",B45,B45+fХмизу)</f>
        <v>148</v>
      </c>
      <c r="C46" s="171"/>
      <c r="D46" s="167"/>
      <c r="E46" s="223" t="s">
        <v>1519</v>
      </c>
      <c r="F46" s="73" t="s">
        <v>1618</v>
      </c>
    </row>
    <row r="47" spans="1:9">
      <c r="A47" s="194" t="s">
        <v>8</v>
      </c>
      <c r="B47" s="195" t="str">
        <f>VLOOKUP(fЛісництво,Лісництва!$A$2:$J$7,4,TRUE)</f>
        <v>Полянский О.С.</v>
      </c>
      <c r="C47" s="166"/>
      <c r="D47" s="167"/>
      <c r="E47" s="223" t="s">
        <v>1486</v>
      </c>
    </row>
    <row r="48" spans="1:9" ht="15.75">
      <c r="A48" s="152" t="s">
        <v>7</v>
      </c>
      <c r="B48" s="161" t="str">
        <f>VLOOKUP(fЛісництво,Лісництва!$A$2:$J$7,5,TRUE)</f>
        <v>Полянського О.С.</v>
      </c>
      <c r="C48" s="168"/>
      <c r="D48" s="167"/>
      <c r="E48" s="224" t="s">
        <v>1487</v>
      </c>
    </row>
    <row r="49" spans="1:5">
      <c r="A49" s="145" t="s">
        <v>6</v>
      </c>
      <c r="B49" s="275" t="str">
        <f>fМастер_Вибір</f>
        <v>Фіцайло Л.О.</v>
      </c>
      <c r="C49" s="274" t="s">
        <v>888</v>
      </c>
      <c r="D49" s="167"/>
      <c r="E49" s="223" t="s">
        <v>1478</v>
      </c>
    </row>
    <row r="50" spans="1:5" ht="15.75" thickBot="1">
      <c r="A50" s="153" t="s">
        <v>1162</v>
      </c>
      <c r="B50" s="161" t="e">
        <f>VLOOKUP(fМастер,ПадежиМайстер!$A$2:$O$50,10,FALSE) &amp; " " &amp; VLOOKUP(fМастер,ПадежиМайстер!$A$2:$O$50,3,FALSE)</f>
        <v>#N/A</v>
      </c>
      <c r="C50" s="168"/>
      <c r="D50" s="167"/>
      <c r="E50" s="73" t="s">
        <v>1512</v>
      </c>
    </row>
    <row r="51" spans="1:5">
      <c r="A51" s="143" t="s">
        <v>1142</v>
      </c>
      <c r="B51" s="466">
        <v>556617</v>
      </c>
      <c r="C51" s="168"/>
      <c r="D51" s="167"/>
      <c r="E51" s="223" t="s">
        <v>1488</v>
      </c>
    </row>
    <row r="52" spans="1:5">
      <c r="A52" s="145" t="s">
        <v>1161</v>
      </c>
      <c r="B52" s="162">
        <v>43077</v>
      </c>
      <c r="C52" s="168"/>
      <c r="D52" s="167"/>
      <c r="E52" s="223" t="s">
        <v>1489</v>
      </c>
    </row>
    <row r="53" spans="1:5" hidden="1" outlineLevel="1">
      <c r="A53" s="145" t="s">
        <v>1317</v>
      </c>
      <c r="B53" s="467">
        <f>DAY(f№ЛКДата)</f>
        <v>8</v>
      </c>
      <c r="C53" s="168"/>
      <c r="D53" s="167"/>
      <c r="E53" s="223"/>
    </row>
    <row r="54" spans="1:5" hidden="1" outlineLevel="1">
      <c r="A54" s="145" t="s">
        <v>1318</v>
      </c>
      <c r="B54" s="467" t="str">
        <f>LOWER(МесяцяПрописом(MONTH(f№ЛКДата)))</f>
        <v>грудня</v>
      </c>
      <c r="C54" s="168"/>
      <c r="D54" s="167"/>
      <c r="E54" s="223"/>
    </row>
    <row r="55" spans="1:5" hidden="1" outlineLevel="1">
      <c r="A55" s="145" t="s">
        <v>1319</v>
      </c>
      <c r="B55" s="467">
        <f>YEAR(f№ЛКДата)</f>
        <v>2017</v>
      </c>
      <c r="C55" s="168"/>
      <c r="D55" s="167"/>
      <c r="E55" s="223"/>
    </row>
    <row r="56" spans="1:5" collapsed="1">
      <c r="A56" s="145" t="s">
        <v>1556</v>
      </c>
      <c r="B56" s="463">
        <v>43465</v>
      </c>
      <c r="C56" s="168"/>
      <c r="D56" s="167"/>
      <c r="E56" s="223" t="s">
        <v>1490</v>
      </c>
    </row>
    <row r="57" spans="1:5" outlineLevel="1">
      <c r="A57" s="145" t="s">
        <v>1341</v>
      </c>
      <c r="B57" s="467">
        <f>DAY(f№ЛКДатаЗак)</f>
        <v>31</v>
      </c>
      <c r="C57" s="168"/>
      <c r="D57" s="167"/>
      <c r="E57" s="223"/>
    </row>
    <row r="58" spans="1:5" outlineLevel="1">
      <c r="A58" s="145" t="s">
        <v>1342</v>
      </c>
      <c r="B58" s="164" t="s">
        <v>1714</v>
      </c>
      <c r="C58" s="168"/>
      <c r="D58" s="167"/>
      <c r="E58" s="223"/>
    </row>
    <row r="59" spans="1:5" outlineLevel="1">
      <c r="A59" s="145" t="s">
        <v>1343</v>
      </c>
      <c r="B59" s="467">
        <f ca="1">YEAR(TODAY())</f>
        <v>2018</v>
      </c>
      <c r="C59" s="168"/>
      <c r="D59" s="167"/>
      <c r="E59" s="223"/>
    </row>
    <row r="60" spans="1:5">
      <c r="A60" s="145" t="s">
        <v>1156</v>
      </c>
      <c r="B60" s="160" t="s">
        <v>2555</v>
      </c>
      <c r="C60" s="168"/>
      <c r="D60" s="167"/>
      <c r="E60" s="223" t="s">
        <v>1476</v>
      </c>
    </row>
    <row r="61" spans="1:5">
      <c r="A61" s="145" t="s">
        <v>1144</v>
      </c>
      <c r="B61" s="162"/>
      <c r="C61" s="166"/>
      <c r="D61" s="167"/>
      <c r="E61" s="223" t="s">
        <v>1491</v>
      </c>
    </row>
    <row r="62" spans="1:5" hidden="1" outlineLevel="1">
      <c r="A62" s="145" t="s">
        <v>1146</v>
      </c>
      <c r="B62" s="163">
        <f>DAY(f№ДПДата)</f>
        <v>0</v>
      </c>
      <c r="C62" s="166"/>
      <c r="D62" s="167"/>
      <c r="E62" s="223"/>
    </row>
    <row r="63" spans="1:5" hidden="1" outlineLevel="1">
      <c r="A63" s="145" t="s">
        <v>1147</v>
      </c>
      <c r="B63" s="164" t="str">
        <f>LOWER(МесяцяПрописом(MONTH(f№ДПДата)))</f>
        <v>січня</v>
      </c>
      <c r="C63" s="166"/>
      <c r="D63" s="167"/>
      <c r="E63" s="223"/>
    </row>
    <row r="64" spans="1:5" hidden="1" outlineLevel="1">
      <c r="A64" s="145" t="s">
        <v>1148</v>
      </c>
      <c r="B64" s="163">
        <f>YEAR(f№ДПДата)</f>
        <v>1900</v>
      </c>
      <c r="C64" s="166"/>
      <c r="D64" s="167"/>
      <c r="E64" s="223"/>
    </row>
    <row r="65" spans="1:7" collapsed="1">
      <c r="A65" s="200" t="s">
        <v>1447</v>
      </c>
      <c r="B65" s="461">
        <v>0</v>
      </c>
      <c r="C65" s="166"/>
      <c r="D65" s="167"/>
      <c r="E65" s="223" t="s">
        <v>1492</v>
      </c>
    </row>
    <row r="66" spans="1:7">
      <c r="A66" s="256" t="s">
        <v>1417</v>
      </c>
      <c r="B66" s="461">
        <v>1</v>
      </c>
      <c r="C66" s="166"/>
      <c r="D66" s="167"/>
      <c r="E66" s="223" t="s">
        <v>1607</v>
      </c>
    </row>
    <row r="67" spans="1:7">
      <c r="A67" s="209" t="s">
        <v>1469</v>
      </c>
      <c r="B67" s="546">
        <v>74.477999999999994</v>
      </c>
      <c r="C67" s="166"/>
      <c r="D67" s="167"/>
      <c r="E67" s="223" t="s">
        <v>1472</v>
      </c>
    </row>
    <row r="68" spans="1:7">
      <c r="A68" s="209" t="s">
        <v>1470</v>
      </c>
      <c r="B68" s="547">
        <v>74.477999999999994</v>
      </c>
      <c r="C68" s="166"/>
      <c r="D68" s="167"/>
      <c r="E68" s="223" t="s">
        <v>1471</v>
      </c>
    </row>
    <row r="69" spans="1:7">
      <c r="A69" s="245" t="s">
        <v>1522</v>
      </c>
      <c r="B69" s="463">
        <f>IF(fВидШаблона="Молодняки",IF(fСпосіб_рубання_молодняк=1,fВитрати_хлисти_мех,fВитрати_сорт_ручне),fВитрати_сорт_ручне)</f>
        <v>74.477999999999994</v>
      </c>
      <c r="D69" s="167"/>
      <c r="E69" s="223" t="s">
        <v>1576</v>
      </c>
      <c r="G69" s="73" t="str">
        <f>IF(fВидШаблона="Молодняк",TEXT(fВитрати_хлисти_мех,"0,00"),TEXT(fВитрати_сорт_ручне,"0,00"))</f>
        <v>74,48</v>
      </c>
    </row>
    <row r="70" spans="1:7">
      <c r="A70" s="245" t="s">
        <v>1604</v>
      </c>
      <c r="B70" s="464">
        <f>IF(fВидШаблона="Молодняки",IF(fСпосіб_рубання_молодняк=1,fВитрати_хлисти_мех,fВитрати_сорт_ручне),fВитрати_хлисти_мех)</f>
        <v>74.477999999999994</v>
      </c>
      <c r="C70" s="274"/>
      <c r="D70" s="544">
        <f>IF(fВидШаблона="Молодняк",IF(fСпосіб_рубання_молодняк=1,fВитрати_хлисти_мех,fВитрати_сорт_ручне),fВитрати_сорт_ручне)</f>
        <v>74.477999999999994</v>
      </c>
      <c r="E70" s="223" t="s">
        <v>1601</v>
      </c>
    </row>
    <row r="71" spans="1:7" s="281" customFormat="1" ht="15.75" thickBot="1">
      <c r="A71" s="312" t="s">
        <v>1613</v>
      </c>
      <c r="B71" s="465"/>
      <c r="C71" s="295"/>
      <c r="D71" s="197"/>
      <c r="E71" s="280"/>
    </row>
    <row r="72" spans="1:7" ht="15.75" thickBot="1">
      <c r="A72" s="143" t="s">
        <v>1291</v>
      </c>
      <c r="B72" s="461">
        <f>fРозцінка*B45</f>
        <v>10426.92</v>
      </c>
      <c r="C72" s="542">
        <f>MROUND(fВсьогоДоговір,0.01)</f>
        <v>10426.92</v>
      </c>
      <c r="D72" s="167"/>
      <c r="E72" s="223" t="s">
        <v>1493</v>
      </c>
    </row>
    <row r="73" spans="1:7">
      <c r="A73" s="143" t="s">
        <v>1608</v>
      </c>
      <c r="B73" s="461">
        <f>fРозцінка_хл*B45</f>
        <v>10426.92</v>
      </c>
      <c r="C73" s="542">
        <f>MROUND(fСума_Договір_хл,0.01)</f>
        <v>10426.92</v>
      </c>
      <c r="D73" s="167"/>
      <c r="E73" s="223" t="s">
        <v>1612</v>
      </c>
    </row>
    <row r="74" spans="1:7">
      <c r="A74" s="145" t="s">
        <v>1292</v>
      </c>
      <c r="B74" s="452">
        <f>fСумаДоговір*fПДВпр</f>
        <v>0</v>
      </c>
      <c r="C74" s="166"/>
      <c r="D74" s="167"/>
      <c r="E74" s="223" t="s">
        <v>1494</v>
      </c>
    </row>
    <row r="75" spans="1:7">
      <c r="A75" s="145" t="s">
        <v>1609</v>
      </c>
      <c r="B75" s="452">
        <f>B73*fПДВпр</f>
        <v>0</v>
      </c>
      <c r="C75" s="166"/>
      <c r="D75" s="167"/>
      <c r="E75" s="223" t="s">
        <v>1615</v>
      </c>
    </row>
    <row r="76" spans="1:7" outlineLevel="1">
      <c r="A76" s="145" t="s">
        <v>1293</v>
      </c>
      <c r="B76" s="260" t="str">
        <f>TEXT(fВсьогоДоговір_Вибір,"0,00")</f>
        <v>10426,92</v>
      </c>
      <c r="C76" s="313">
        <f>MROUND(fСумаДоговірЗПДВ,0.01)</f>
        <v>10426.92</v>
      </c>
      <c r="D76" s="260">
        <f>fСумаДоговір+fПДВДоговір</f>
        <v>10426.92</v>
      </c>
      <c r="E76" s="223" t="s">
        <v>1495</v>
      </c>
      <c r="F76" s="223" t="s">
        <v>1574</v>
      </c>
    </row>
    <row r="77" spans="1:7" outlineLevel="1">
      <c r="A77" s="145" t="s">
        <v>1614</v>
      </c>
      <c r="B77" s="260" t="str">
        <f>TEXT(fВсьогоДоговір_хл_Вибір,"0,00")</f>
        <v>10426,92</v>
      </c>
      <c r="C77" s="313">
        <f>MROUND(fСумаДоговірЗПДВ_хл,0.01)</f>
        <v>10426.92</v>
      </c>
      <c r="D77" s="260">
        <f>fСума_Договір_хл+fПДВ_Договір_хл</f>
        <v>10426.92</v>
      </c>
      <c r="E77" s="223"/>
      <c r="F77" s="311"/>
    </row>
    <row r="78" spans="1:7" outlineLevel="1">
      <c r="A78" s="154" t="s">
        <v>1294</v>
      </c>
      <c r="B78" s="161" t="str">
        <f>грн(fСумаДоговір)</f>
        <v>Десять тисяч чотириста двадцять шість грн. 92 коп.</v>
      </c>
      <c r="D78" s="167"/>
      <c r="E78" s="223" t="s">
        <v>1496</v>
      </c>
      <c r="F78" s="311"/>
    </row>
    <row r="79" spans="1:7" outlineLevel="1">
      <c r="A79" s="154" t="s">
        <v>1603</v>
      </c>
      <c r="B79" s="161" t="str">
        <f>грн(B45*fРозцінка_хл)</f>
        <v>Десять тисяч чотириста двадцять шість грн. 92 коп.</v>
      </c>
      <c r="C79" s="158"/>
      <c r="D79" s="167"/>
      <c r="E79" s="223" t="s">
        <v>1602</v>
      </c>
    </row>
    <row r="80" spans="1:7">
      <c r="A80" s="154" t="s">
        <v>1295</v>
      </c>
      <c r="B80" s="161" t="str">
        <f>грн(fПДВДоговір)</f>
        <v>Ноль грн. 00 коп.</v>
      </c>
      <c r="C80" s="166"/>
      <c r="D80" s="167"/>
      <c r="E80" s="223" t="s">
        <v>1497</v>
      </c>
    </row>
    <row r="81" spans="1:5">
      <c r="A81" s="154" t="s">
        <v>1610</v>
      </c>
      <c r="B81" s="161" t="str">
        <f>грн(fПДВДоговір)</f>
        <v>Ноль грн. 00 коп.</v>
      </c>
      <c r="C81" s="166"/>
      <c r="D81" s="167"/>
      <c r="E81" s="223"/>
    </row>
    <row r="82" spans="1:5" ht="15.75" thickBot="1">
      <c r="A82" s="155" t="s">
        <v>1296</v>
      </c>
      <c r="B82" s="161" t="str">
        <f>грн(fВсьогоДоговір_Вибір)</f>
        <v>Десять тисяч чотириста двадцять шість грн. 92 коп.</v>
      </c>
      <c r="C82" s="166"/>
      <c r="D82" s="167"/>
      <c r="E82" s="223" t="s">
        <v>1498</v>
      </c>
    </row>
    <row r="83" spans="1:5" ht="15.75" thickBot="1">
      <c r="A83" s="155" t="s">
        <v>1611</v>
      </c>
      <c r="B83" s="161" t="str">
        <f>грн(fВсьогоДоговір_хл_Вибір)</f>
        <v>Десять тисяч чотириста двадцять шість грн. 92 коп.</v>
      </c>
      <c r="C83" s="166"/>
      <c r="D83" s="167"/>
      <c r="E83" s="223"/>
    </row>
    <row r="84" spans="1:5" ht="15.75">
      <c r="A84" s="81" t="s">
        <v>1374</v>
      </c>
      <c r="B84" s="220" t="s">
        <v>1468</v>
      </c>
      <c r="C84" s="166"/>
      <c r="D84" s="167"/>
      <c r="E84" s="223" t="s">
        <v>1499</v>
      </c>
    </row>
    <row r="85" spans="1:5" ht="15.75">
      <c r="A85" s="81" t="s">
        <v>1463</v>
      </c>
      <c r="B85" s="215"/>
      <c r="C85" s="166"/>
      <c r="D85" s="167"/>
      <c r="E85" s="223"/>
    </row>
    <row r="86" spans="1:5" ht="15.75">
      <c r="A86" s="81" t="s">
        <v>1464</v>
      </c>
      <c r="B86" s="215"/>
      <c r="C86" s="166"/>
      <c r="D86" s="167"/>
      <c r="E86" s="223"/>
    </row>
    <row r="87" spans="1:5" ht="15.75" outlineLevel="1">
      <c r="A87" s="84" t="s">
        <v>1466</v>
      </c>
      <c r="B87" s="215"/>
      <c r="C87" s="166"/>
      <c r="D87" s="219" t="s">
        <v>1465</v>
      </c>
      <c r="E87" s="223"/>
    </row>
    <row r="88" spans="1:5" outlineLevel="1">
      <c r="A88" s="145" t="s">
        <v>1257</v>
      </c>
      <c r="B88" s="162">
        <v>43349</v>
      </c>
      <c r="C88" s="166"/>
      <c r="D88" s="167"/>
      <c r="E88" s="223" t="s">
        <v>1477</v>
      </c>
    </row>
    <row r="89" spans="1:5" outlineLevel="1">
      <c r="A89" s="145" t="s">
        <v>1320</v>
      </c>
      <c r="B89" s="452">
        <f>DAY(fПочатокРобіт)</f>
        <v>6</v>
      </c>
      <c r="C89" s="166"/>
      <c r="D89" s="167"/>
      <c r="E89" s="223" t="s">
        <v>1695</v>
      </c>
    </row>
    <row r="90" spans="1:5">
      <c r="A90" s="145" t="s">
        <v>1321</v>
      </c>
      <c r="B90" s="163" t="str">
        <f>LOWER(МесяцяПрописом(MONTH(fПочатокРобіт)))</f>
        <v>вересня</v>
      </c>
      <c r="C90" s="166"/>
      <c r="D90" s="167"/>
      <c r="E90" s="223" t="s">
        <v>1696</v>
      </c>
    </row>
    <row r="91" spans="1:5">
      <c r="A91" s="145" t="s">
        <v>1322</v>
      </c>
      <c r="B91" s="452">
        <f>YEAR(fПочатокРобіт)</f>
        <v>2018</v>
      </c>
      <c r="C91" s="166"/>
      <c r="D91" s="167"/>
      <c r="E91" s="223" t="s">
        <v>1697</v>
      </c>
    </row>
    <row r="92" spans="1:5" outlineLevel="1">
      <c r="A92" s="145" t="s">
        <v>1143</v>
      </c>
      <c r="B92" s="160" t="s">
        <v>2358</v>
      </c>
      <c r="C92" s="166"/>
      <c r="D92" s="167"/>
      <c r="E92" s="223" t="s">
        <v>1500</v>
      </c>
    </row>
    <row r="93" spans="1:5" outlineLevel="1">
      <c r="A93" s="145" t="s">
        <v>1145</v>
      </c>
      <c r="B93" s="162" t="s">
        <v>1623</v>
      </c>
      <c r="C93" s="166"/>
      <c r="D93" s="167"/>
      <c r="E93" s="223" t="s">
        <v>1501</v>
      </c>
    </row>
    <row r="94" spans="1:5" outlineLevel="1">
      <c r="A94" s="145" t="s">
        <v>1150</v>
      </c>
      <c r="B94" s="161" t="str">
        <f>LOWER(МесяціПрописом(MONTH(f№АктДата)))</f>
        <v>лютому</v>
      </c>
      <c r="C94" s="166"/>
      <c r="D94" s="167"/>
      <c r="E94" s="223"/>
    </row>
    <row r="95" spans="1:5" outlineLevel="1">
      <c r="A95" s="145" t="s">
        <v>1151</v>
      </c>
      <c r="B95" s="161" t="str">
        <f>LOWER(МесяцьПрописом(MONTH(f№АктДата)))</f>
        <v>лютий</v>
      </c>
      <c r="C95" s="166"/>
      <c r="D95" s="167"/>
      <c r="E95" s="223"/>
    </row>
    <row r="96" spans="1:5">
      <c r="A96" s="145" t="s">
        <v>1152</v>
      </c>
      <c r="B96" s="452">
        <f>DAY(f№АктДата)</f>
        <v>28</v>
      </c>
      <c r="C96" s="166"/>
      <c r="D96" s="167"/>
      <c r="E96" s="223"/>
    </row>
    <row r="97" spans="1:5" ht="15.75" outlineLevel="1" thickBot="1">
      <c r="A97" s="153" t="s">
        <v>1153</v>
      </c>
      <c r="B97" s="452">
        <f>YEAR(f№АктДата)</f>
        <v>2014</v>
      </c>
      <c r="C97" s="166"/>
      <c r="D97" s="230">
        <f>YEAR(f№АктДата)</f>
        <v>2014</v>
      </c>
      <c r="E97" s="223"/>
    </row>
    <row r="98" spans="1:5" outlineLevel="1">
      <c r="A98" s="143" t="s">
        <v>1032</v>
      </c>
      <c r="B98" s="231" t="str">
        <f>IF(fСокр_Виконавець_Вибір="",VLOOKUP(fЛісництво,Лісництва!$A$2:$J$7,COLUMN(Лісництва!$F$2:$F$7 ),FALSE),fСокр_Виконавець_Вибір)</f>
        <v>Дереча ФОП</v>
      </c>
      <c r="C98" s="435" t="s">
        <v>1559</v>
      </c>
      <c r="D98" s="231" t="str">
        <f>IF(fСокр_Виконавець_Вибір="",VLOOKUP(fЛісництво,Лісництва!$A$2:$J$7,COLUMN(Лісництва!$F$2:$F$7 ),FALSE),fСокр_Виконавець_Вибір)</f>
        <v>Дереча ФОП</v>
      </c>
      <c r="E98" s="223" t="s">
        <v>1502</v>
      </c>
    </row>
    <row r="99" spans="1:5" outlineLevel="1">
      <c r="A99" s="145" t="s">
        <v>1031</v>
      </c>
      <c r="B99" s="161" t="str">
        <f>VLOOKUP(fСокр_Виконавець,Виконавец!$A$2:$T$7,COLUMN(Виконавец!$L$2:$L$7 ),FALSE)</f>
        <v>ФОП Дереча Пилип Олександрович</v>
      </c>
      <c r="C99" s="541">
        <f>COLUMN(Виконавец!$M$2:$M$7)</f>
        <v>13</v>
      </c>
      <c r="D99" s="232" t="str">
        <f>VLOOKUP(fСокр_Виконавець,Виконавец!$A$2:$T$7,COLUMN(Виконавец!$L$2:$L$7 ),FALSE)</f>
        <v>ФОП Дереча Пилип Олександрович</v>
      </c>
      <c r="E99" s="223" t="s">
        <v>1503</v>
      </c>
    </row>
    <row r="100" spans="1:5" outlineLevel="1">
      <c r="A100" s="145" t="s">
        <v>1309</v>
      </c>
      <c r="B100" s="161" t="str">
        <f>VLOOKUP(fСокр_Виконавець,Виконавец!$A$2:$T$7,COLUMN(Виконавец!$M$2:$M$7  ),FALSE)</f>
        <v>Черкаська область, м. Черкаси  вул. Гетмана Сагайдачного б. 175/1 кв. 41 ,18020</v>
      </c>
      <c r="C100" s="166"/>
      <c r="D100" s="167"/>
      <c r="E100" s="223"/>
    </row>
    <row r="101" spans="1:5" ht="15.75" outlineLevel="1">
      <c r="A101" s="84" t="s">
        <v>1312</v>
      </c>
      <c r="B101" s="161" t="str">
        <f>VLOOKUP(fСокр_Виконавець,Виконавец!$A$2:$T$7,COLUMN(Виконавец!$N$2:$N$7  ),FALSE)</f>
        <v>№ 2973118134 № св.131644</v>
      </c>
      <c r="C101" s="166"/>
      <c r="D101" s="167"/>
      <c r="E101" s="223"/>
    </row>
    <row r="102" spans="1:5" ht="15.75" outlineLevel="1">
      <c r="A102" s="177" t="s">
        <v>1310</v>
      </c>
      <c r="B102" s="161" t="str">
        <f>VLOOKUP(fСокр_Виконавець,Виконавец!$A$2:$T$7,COLUMN(Виконавец!$O$2:$O$7  ),FALSE)</f>
        <v>26002054722898 ПАТ КБ "ПРИВАТБАНК" МФО333391</v>
      </c>
      <c r="C102" s="166"/>
      <c r="D102" s="167"/>
      <c r="E102" s="223"/>
    </row>
    <row r="103" spans="1:5" ht="15.75" outlineLevel="1">
      <c r="A103" s="84" t="s">
        <v>1313</v>
      </c>
      <c r="B103" s="467">
        <f>VLOOKUP(fСокр_Виконавець,Виконавец!$A$2:$T$7,COLUMN(Виконавец!$P$2:$P$7  ),FALSE)</f>
        <v>2973118134</v>
      </c>
      <c r="C103" s="166"/>
      <c r="D103" s="167"/>
      <c r="E103" s="223"/>
    </row>
    <row r="104" spans="1:5" ht="15.75" outlineLevel="1">
      <c r="A104" s="144" t="s">
        <v>1200</v>
      </c>
      <c r="B104" s="161" t="str">
        <f>VLOOKUP(fСокр_Виконавець,Виконавец!$A$2:$T$7,COLUMN(Виконавец!$Q$2:$Q$7  ),FALSE)</f>
        <v>№94-ДГ</v>
      </c>
      <c r="C104" s="166"/>
      <c r="D104" s="167"/>
      <c r="E104" s="223"/>
    </row>
    <row r="105" spans="1:5" ht="15.75" outlineLevel="1">
      <c r="A105" s="144" t="s">
        <v>1199</v>
      </c>
      <c r="B105" s="161" t="str">
        <f>VLOOKUP(fСокр_Виконавець,Виконавец!$A$2:$T$7,COLUMN(Виконавец!$R$2:$R$7  ),FALSE)</f>
        <v xml:space="preserve"> 153.13.71</v>
      </c>
      <c r="C105" s="166"/>
      <c r="D105" s="167"/>
      <c r="E105" s="223"/>
    </row>
    <row r="106" spans="1:5" outlineLevel="1">
      <c r="A106" s="145" t="s">
        <v>1033</v>
      </c>
      <c r="B106" s="161" t="str">
        <f>VLOOKUP(fСокр_Виконавець,Виконавец!$A$2:$T$7,COLUMN(Виконавец!$D$2:$D$7  ),FALSE)</f>
        <v>Директор</v>
      </c>
      <c r="C106" s="166"/>
      <c r="D106" s="167"/>
      <c r="E106" s="223" t="s">
        <v>1504</v>
      </c>
    </row>
    <row r="107" spans="1:5" outlineLevel="1">
      <c r="A107" s="145" t="s">
        <v>1034</v>
      </c>
      <c r="B107" s="161" t="str">
        <f>VLOOKUP(fСокр_Виконавець,Виконавец!$A$2:$T$7,COLUMN(Виконавец!$C$2:$C$7  ),FALSE)</f>
        <v>Дереча П.О.</v>
      </c>
      <c r="C107" s="166"/>
      <c r="D107" s="167"/>
      <c r="E107" s="223" t="s">
        <v>1505</v>
      </c>
    </row>
    <row r="108" spans="1:5">
      <c r="A108" s="145" t="s">
        <v>1149</v>
      </c>
      <c r="B108" s="161" t="str">
        <f>VLOOKUP(fСокр_Виконавець,Виконавец!$A$2:$T$7,COLUMN(Виконавец!$I$2:$I$7  ),FALSE)</f>
        <v xml:space="preserve">П.О. Дереча </v>
      </c>
      <c r="C108" s="166"/>
      <c r="D108" s="167"/>
      <c r="E108" s="223" t="s">
        <v>1506</v>
      </c>
    </row>
    <row r="109" spans="1:5" ht="15.75" thickBot="1">
      <c r="A109" s="145" t="s">
        <v>1220</v>
      </c>
      <c r="B109" s="161" t="str">
        <f>VLOOKUP(fСокр_Виконавець,Виконавец!$A$2:$T$7,COLUMN(Виконавец!$E$2:$E$7  ),FALSE)</f>
        <v>Деречі Пилипа Олександровича</v>
      </c>
      <c r="C109" s="166"/>
      <c r="D109" s="167"/>
      <c r="E109" s="223" t="s">
        <v>1507</v>
      </c>
    </row>
    <row r="110" spans="1:5">
      <c r="A110" s="143" t="s">
        <v>1273</v>
      </c>
      <c r="B110" s="466">
        <v>1448.3</v>
      </c>
      <c r="C110" s="166"/>
      <c r="D110" s="167"/>
      <c r="E110" s="223" t="s">
        <v>1508</v>
      </c>
    </row>
    <row r="111" spans="1:5" hidden="1" outlineLevel="1">
      <c r="A111" s="145" t="s">
        <v>1274</v>
      </c>
      <c r="B111" s="160">
        <v>289.66000000000003</v>
      </c>
      <c r="C111" s="166"/>
      <c r="D111" s="167"/>
      <c r="E111" s="223" t="s">
        <v>1509</v>
      </c>
    </row>
    <row r="112" spans="1:5" hidden="1" outlineLevel="1">
      <c r="A112" s="145" t="s">
        <v>1275</v>
      </c>
      <c r="B112" s="160">
        <v>1737.96</v>
      </c>
      <c r="C112" s="166"/>
      <c r="D112" s="167"/>
      <c r="E112" s="223" t="s">
        <v>1510</v>
      </c>
    </row>
    <row r="113" spans="1:6" hidden="1" outlineLevel="1">
      <c r="A113" s="154" t="s">
        <v>2</v>
      </c>
      <c r="B113" s="161" t="str">
        <f>грн(fСума)</f>
        <v>Одна тисяча чотириста сорок вісім грн. 30 коп.</v>
      </c>
      <c r="C113" s="166"/>
      <c r="D113" s="167"/>
      <c r="E113" s="223"/>
    </row>
    <row r="114" spans="1:6" collapsed="1">
      <c r="A114" s="154" t="s">
        <v>1</v>
      </c>
      <c r="B114" s="161" t="str">
        <f>грн(fПДВ)</f>
        <v>Двісті вісімдесят дев'ять грн. 66 коп.</v>
      </c>
      <c r="C114" s="166"/>
      <c r="D114" s="167"/>
      <c r="E114" s="223"/>
    </row>
    <row r="115" spans="1:6" ht="15.75" thickBot="1">
      <c r="A115" s="155" t="s">
        <v>0</v>
      </c>
      <c r="B115" s="165" t="str">
        <f>грн(fВсього)</f>
        <v>Одна тисяча сімсот тридцять сім грн. 96 коп.</v>
      </c>
      <c r="C115" s="166"/>
      <c r="D115" s="167"/>
      <c r="E115" s="223"/>
    </row>
    <row r="116" spans="1:6" ht="16.5" thickBot="1">
      <c r="A116" s="84" t="s">
        <v>1564</v>
      </c>
      <c r="B116" s="270" t="str">
        <f>IF(fВидШаблона="Молодняки","Всього запас","Загальний ліквідний запас")</f>
        <v>Загальний ліквідний запас</v>
      </c>
      <c r="C116" s="166"/>
      <c r="D116" s="167"/>
      <c r="E116" s="223"/>
    </row>
    <row r="117" spans="1:6" s="291" customFormat="1" ht="16.5" thickBot="1">
      <c r="A117" s="84" t="s">
        <v>1565</v>
      </c>
      <c r="B117" s="270" t="str">
        <f>IF(fВидШаблона="Молодняки","Хворосту","ділової")</f>
        <v>ділової</v>
      </c>
      <c r="C117" s="166"/>
      <c r="D117" s="167"/>
      <c r="E117" s="223"/>
      <c r="F117" s="73"/>
    </row>
    <row r="118" spans="1:6" ht="16.5" outlineLevel="1" thickBot="1">
      <c r="A118" s="84" t="s">
        <v>1566</v>
      </c>
      <c r="B118" s="282" t="str">
        <f>IF(fВидШаблона="Молодняки","хмизу","дров")</f>
        <v>дров</v>
      </c>
      <c r="C118" s="237"/>
      <c r="D118" s="283"/>
      <c r="E118" s="284"/>
      <c r="F118" s="291"/>
    </row>
    <row r="119" spans="1:6" ht="16.5" outlineLevel="1" thickBot="1">
      <c r="A119" s="290" t="s">
        <v>1573</v>
      </c>
      <c r="B119" s="291"/>
      <c r="C119" s="292"/>
      <c r="D119" s="293"/>
      <c r="E119" s="294"/>
    </row>
    <row r="120" spans="1:6" ht="15.75" outlineLevel="1" thickBot="1">
      <c r="A120" s="285" t="s">
        <v>1221</v>
      </c>
      <c r="B120" s="286" t="s">
        <v>1160</v>
      </c>
      <c r="C120" s="287" t="s">
        <v>1159</v>
      </c>
      <c r="D120" s="288"/>
      <c r="E120" s="289" t="s">
        <v>1511</v>
      </c>
    </row>
    <row r="121" spans="1:6" ht="15.75" outlineLevel="1" thickBot="1">
      <c r="A121" s="174" t="s">
        <v>1340</v>
      </c>
      <c r="B121" s="175" t="str">
        <f>"&lt;ExcelTable&gt;/"&amp;fВидШаблона&amp;"_кошторис"&amp;"/"&amp;REGPLACE(getReferToNamedRangeByName(LeterАсtiveSheet(fВидШаблона)&amp;fВидШаблона&amp;"_кошторис"),".+!","")&amp;"/Word"</f>
        <v>&lt;ExcelTable&gt;/РГК_кошторис/$A$4:$J$19/Word</v>
      </c>
      <c r="C121" s="166"/>
      <c r="D121" s="167"/>
      <c r="E121" s="223"/>
      <c r="F121" s="73" t="str">
        <f>REGPLACE(getReferToNamedRangeByName(LeterАсtiveSheet(fВидШаблона)&amp;fВидШаблона&amp;"_кошторис"),".+!","")</f>
        <v>$A$4:$J$19</v>
      </c>
    </row>
    <row r="122" spans="1:6" ht="15.75" outlineLevel="1" thickBot="1">
      <c r="A122" s="174" t="s">
        <v>1448</v>
      </c>
      <c r="B122" s="175" t="str">
        <f>IF(fВидШаблона="РГК",C122,D122)</f>
        <v>&lt;ExcelTable&gt;/План Заготівлі РГК/UsedRange/Word</v>
      </c>
      <c r="C122" s="243" t="s">
        <v>1520</v>
      </c>
      <c r="D122" s="244" t="s">
        <v>1521</v>
      </c>
      <c r="E122" s="223"/>
    </row>
    <row r="123" spans="1:6" ht="15.75" thickBot="1">
      <c r="A123" s="174" t="s">
        <v>1449</v>
      </c>
      <c r="B123" s="175" t="str">
        <f>"&lt;ExcelTable&gt;/"&amp;fВидШаблона&amp;"_кошторис"&amp;"/"&amp;REGPLACE(getReferToNamedRangeByName(LeterАсtiveSheet(fВидШаблона)&amp;fВидШаблона&amp;"_протокол"),".+!","")&amp;"/Word"</f>
        <v>&lt;ExcelTable&gt;/РГК_кошторис/$A$33:$H$42/Word</v>
      </c>
      <c r="C123" s="166"/>
      <c r="D123" s="233"/>
      <c r="E123" s="223"/>
    </row>
    <row r="124" spans="1:6" ht="15.75" thickBot="1">
      <c r="A124" s="174" t="s">
        <v>1467</v>
      </c>
      <c r="B124" s="175" t="str">
        <f>"&lt;ExcelTable&gt;/"&amp;fВидШаблона&amp;"_кошторис"&amp;"/"&amp;REGPLACE(getReferToNamedRangeByName(LeterАсtiveSheet(fВидШаблона)&amp;fВидШаблона&amp;"_ТЗ"),".+!","")&amp;"/Word"</f>
        <v>&lt;ExcelTable&gt;/РГК_кошторис/$A$48:$H$60/Word</v>
      </c>
      <c r="C124" s="172"/>
      <c r="D124" s="173"/>
      <c r="E124" s="225"/>
    </row>
    <row r="125" spans="1:6" ht="16.5" thickBot="1">
      <c r="A125" s="174" t="s">
        <v>1599</v>
      </c>
      <c r="B125" s="175" t="str">
        <f>"&lt;ExcelTable&gt;/"&amp;fВидШаблона&amp;"_кошторис"&amp;"/"&amp;REGPLACE(getReferToNamedRangeByName(LeterАсtiveSheet(fВидШаблона)&amp;fВидШаблона&amp;"_кошторис"),".+!","")&amp;"/Word"</f>
        <v>&lt;ExcelTable&gt;/РГК_кошторис/$A$4:$J$19/Word</v>
      </c>
      <c r="D125" s="81"/>
    </row>
    <row r="126" spans="1:6">
      <c r="A126" s="209" t="s">
        <v>1385</v>
      </c>
      <c r="B126" s="403">
        <v>0</v>
      </c>
      <c r="C126" s="209" t="s">
        <v>1385</v>
      </c>
    </row>
    <row r="127" spans="1:6">
      <c r="A127" s="209" t="s">
        <v>1386</v>
      </c>
      <c r="B127" s="403">
        <v>0</v>
      </c>
      <c r="C127" s="209" t="s">
        <v>1386</v>
      </c>
      <c r="E127" s="543">
        <f>Знач2*F127</f>
        <v>0</v>
      </c>
      <c r="F127" s="543">
        <v>0.1</v>
      </c>
    </row>
    <row r="128" spans="1:6">
      <c r="A128" s="209" t="s">
        <v>1387</v>
      </c>
      <c r="B128" s="403">
        <v>42</v>
      </c>
      <c r="C128" s="209" t="s">
        <v>1387</v>
      </c>
      <c r="E128" s="543">
        <f>Знач3*F128</f>
        <v>4.2</v>
      </c>
      <c r="F128" s="543">
        <v>0.1</v>
      </c>
    </row>
    <row r="129" spans="1:6">
      <c r="A129" s="209" t="s">
        <v>1388</v>
      </c>
      <c r="B129" s="403">
        <v>0</v>
      </c>
      <c r="C129" s="209" t="s">
        <v>1388</v>
      </c>
      <c r="E129" s="543"/>
      <c r="F129" s="543"/>
    </row>
    <row r="130" spans="1:6">
      <c r="A130" s="209" t="s">
        <v>1389</v>
      </c>
      <c r="B130" s="403">
        <v>0</v>
      </c>
      <c r="C130" s="209" t="s">
        <v>1389</v>
      </c>
      <c r="E130" s="543">
        <f>Знач5*F130</f>
        <v>0</v>
      </c>
      <c r="F130" s="543">
        <v>0.12</v>
      </c>
    </row>
    <row r="131" spans="1:6">
      <c r="A131" s="209" t="s">
        <v>1390</v>
      </c>
      <c r="B131" s="403">
        <v>4</v>
      </c>
      <c r="C131" s="209" t="s">
        <v>1390</v>
      </c>
      <c r="E131" s="543">
        <f>Знач6*F131</f>
        <v>0.48</v>
      </c>
      <c r="F131" s="543">
        <v>0.12</v>
      </c>
    </row>
    <row r="132" spans="1:6">
      <c r="A132" s="209" t="s">
        <v>1391</v>
      </c>
      <c r="B132" s="403">
        <v>12</v>
      </c>
      <c r="C132" s="209" t="s">
        <v>1391</v>
      </c>
      <c r="E132" s="543"/>
      <c r="F132" s="543"/>
    </row>
    <row r="133" spans="1:6">
      <c r="A133" s="209" t="s">
        <v>1392</v>
      </c>
      <c r="B133" s="403">
        <v>2</v>
      </c>
      <c r="C133" s="209" t="s">
        <v>1392</v>
      </c>
      <c r="E133" s="543">
        <f>Знач8*F133</f>
        <v>0.4</v>
      </c>
      <c r="F133" s="543">
        <v>0.2</v>
      </c>
    </row>
    <row r="134" spans="1:6">
      <c r="A134" s="209" t="s">
        <v>1393</v>
      </c>
      <c r="B134" s="403">
        <v>44</v>
      </c>
      <c r="C134" s="209" t="s">
        <v>1393</v>
      </c>
      <c r="E134" s="543">
        <f>Знач9*F134</f>
        <v>8.8000000000000007</v>
      </c>
      <c r="F134" s="543">
        <v>0.2</v>
      </c>
    </row>
    <row r="135" spans="1:6">
      <c r="A135" s="209" t="s">
        <v>1394</v>
      </c>
      <c r="B135" s="403">
        <v>4</v>
      </c>
      <c r="C135" s="209" t="s">
        <v>1394</v>
      </c>
    </row>
    <row r="136" spans="1:6">
      <c r="A136" s="209" t="s">
        <v>1395</v>
      </c>
      <c r="B136" s="403">
        <v>2</v>
      </c>
      <c r="C136" s="209" t="s">
        <v>1395</v>
      </c>
      <c r="D136" s="73" t="str">
        <f>IF(fВидШаблона="Молодняк","загальний запас-"&amp;fРазомПоЛК &amp; " м3","об’єм " &amp; fРазомПоЛК &amp; " м3.в.т.ч ліквіду " &amp; fВсього__ліквідної_деревини &amp; " м3")</f>
        <v>об’єм 148 м3.в.т.ч ліквіду 140 м3</v>
      </c>
    </row>
    <row r="137" spans="1:6" ht="31.5">
      <c r="A137" s="209" t="s">
        <v>1396</v>
      </c>
      <c r="B137" s="403">
        <v>30</v>
      </c>
      <c r="C137" s="209" t="s">
        <v>1396</v>
      </c>
      <c r="D137" s="316" t="str">
        <f>"об’єм " &amp; fРазомПоЛК &amp; " м3.в.т.ч ліквіду " &amp; fВсього__ліквідної_деревини &amp; " м3"</f>
        <v>об’єм 148 м3.в.т.ч ліквіду 140 м3</v>
      </c>
    </row>
    <row r="138" spans="1:6">
      <c r="A138" s="1" t="s">
        <v>1620</v>
      </c>
      <c r="B138" t="str">
        <f>IF(fВидШаблона="Молодняки","загальний запас-"&amp;fРазомПоЛК &amp; " м3","об’єм " &amp; fРазомПоЛК &amp; " м3.в.т.ч ліквіду " &amp; fВсього__ліквідної_деревини &amp; " м3")</f>
        <v>об’єм 148 м3.в.т.ч ліквіду 140 м3</v>
      </c>
      <c r="C138" s="73" t="s">
        <v>1621</v>
      </c>
    </row>
    <row r="141" spans="1:6">
      <c r="D141" s="552" t="s">
        <v>2623</v>
      </c>
    </row>
    <row r="142" spans="1:6">
      <c r="D142" s="552" t="s">
        <v>2624</v>
      </c>
    </row>
  </sheetData>
  <conditionalFormatting sqref="B45">
    <cfRule type="cellIs" dxfId="15" priority="3" stopIfTrue="1" operator="notEqual">
      <formula>$B$25</formula>
    </cfRule>
  </conditionalFormatting>
  <dataValidations count="3">
    <dataValidation type="list" allowBlank="1" showInputMessage="1" showErrorMessage="1" sqref="B4">
      <formula1>INDIRECT("Рубки[Рубки]")</formula1>
    </dataValidation>
    <dataValidation type="list" allowBlank="1" showInputMessage="1" showErrorMessage="1" sqref="C98">
      <formula1>INDIRECT("Виконавець[Сокр]")</formula1>
    </dataValidation>
    <dataValidation type="list" allowBlank="1" showInputMessage="1" showErrorMessage="1" sqref="B16">
      <formula1>INDIRECT("Лісництва[Підрозділ]")</formula1>
    </dataValidation>
  </dataValidations>
  <hyperlinks>
    <hyperlink ref="C120" location="'Таблица Щоденник'!R1C1" display="&lt;ExcelTable&gt;"/>
    <hyperlink ref="B2" r:id="rId1"/>
  </hyperlinks>
  <pageMargins left="0.7" right="0.7" top="0.75" bottom="0.75" header="0.3" footer="0.3"/>
  <pageSetup paperSize="9" orientation="portrait" verticalDpi="0"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F34"/>
  <sheetViews>
    <sheetView workbookViewId="0">
      <selection activeCell="C22" sqref="C22"/>
    </sheetView>
  </sheetViews>
  <sheetFormatPr defaultRowHeight="15"/>
  <cols>
    <col min="1" max="1" width="30.85546875" customWidth="1"/>
    <col min="2" max="2" width="154.5703125" customWidth="1"/>
    <col min="3" max="3" width="67.5703125" customWidth="1"/>
    <col min="5" max="5" width="11" bestFit="1" customWidth="1"/>
  </cols>
  <sheetData>
    <row r="1" spans="1:6">
      <c r="A1" t="s">
        <v>1553</v>
      </c>
      <c r="B1" t="s">
        <v>1577</v>
      </c>
      <c r="C1" t="s">
        <v>1665</v>
      </c>
    </row>
    <row r="2" spans="1:6">
      <c r="A2" s="356" t="s">
        <v>875</v>
      </c>
      <c r="B2" s="339" t="s">
        <v>1717</v>
      </c>
      <c r="C2" s="338" t="s">
        <v>1624</v>
      </c>
    </row>
    <row r="3" spans="1:6">
      <c r="A3" s="357" t="s">
        <v>1140</v>
      </c>
      <c r="B3" s="69" t="s">
        <v>1729</v>
      </c>
      <c r="C3" s="319" t="s">
        <v>1626</v>
      </c>
    </row>
    <row r="4" spans="1:6">
      <c r="A4" s="357" t="s">
        <v>1302</v>
      </c>
      <c r="B4" s="69" t="s">
        <v>1673</v>
      </c>
      <c r="C4" s="319" t="s">
        <v>1625</v>
      </c>
    </row>
    <row r="5" spans="1:6">
      <c r="A5" s="357" t="s">
        <v>1304</v>
      </c>
      <c r="B5" s="69" t="s">
        <v>942</v>
      </c>
      <c r="C5" s="319" t="s">
        <v>942</v>
      </c>
    </row>
    <row r="6" spans="1:6">
      <c r="A6" s="358" t="s">
        <v>1220</v>
      </c>
      <c r="B6" s="69" t="s">
        <v>1690</v>
      </c>
      <c r="C6" s="319" t="s">
        <v>1627</v>
      </c>
    </row>
    <row r="7" spans="1:6">
      <c r="A7" s="357" t="s">
        <v>1304</v>
      </c>
      <c r="B7" s="69" t="s">
        <v>944</v>
      </c>
      <c r="C7" s="319" t="s">
        <v>944</v>
      </c>
    </row>
    <row r="8" spans="1:6">
      <c r="A8" s="359" t="s">
        <v>1305</v>
      </c>
      <c r="B8" s="68" t="s">
        <v>1727</v>
      </c>
      <c r="C8" s="68" t="s">
        <v>1727</v>
      </c>
    </row>
    <row r="9" spans="1:6">
      <c r="A9" s="359" t="s">
        <v>1306</v>
      </c>
      <c r="B9" s="68"/>
      <c r="C9" s="320"/>
    </row>
    <row r="10" spans="1:6">
      <c r="A10" s="360" t="s">
        <v>1149</v>
      </c>
      <c r="B10" s="69" t="s">
        <v>1691</v>
      </c>
      <c r="C10" s="319" t="s">
        <v>1667</v>
      </c>
    </row>
    <row r="11" spans="1:6">
      <c r="A11" s="359" t="s">
        <v>1307</v>
      </c>
      <c r="B11" s="68" t="s">
        <v>944</v>
      </c>
      <c r="C11" s="320" t="s">
        <v>945</v>
      </c>
    </row>
    <row r="12" spans="1:6">
      <c r="A12" s="357" t="s">
        <v>1301</v>
      </c>
      <c r="B12" s="69" t="s">
        <v>1729</v>
      </c>
      <c r="C12" s="319" t="s">
        <v>1626</v>
      </c>
    </row>
    <row r="13" spans="1:6">
      <c r="A13" s="359" t="s">
        <v>1309</v>
      </c>
      <c r="B13" s="42" t="s">
        <v>1710</v>
      </c>
      <c r="C13" s="319" t="s">
        <v>1629</v>
      </c>
    </row>
    <row r="14" spans="1:6">
      <c r="A14" s="359" t="s">
        <v>1314</v>
      </c>
      <c r="B14" s="380">
        <v>40955161</v>
      </c>
      <c r="C14" s="321" t="s">
        <v>1669</v>
      </c>
      <c r="F14" t="s">
        <v>1746</v>
      </c>
    </row>
    <row r="15" spans="1:6">
      <c r="A15" s="359" t="s">
        <v>1311</v>
      </c>
      <c r="B15" s="380" t="s">
        <v>1745</v>
      </c>
      <c r="C15" s="25">
        <v>3081817929</v>
      </c>
      <c r="E15">
        <v>4095516128</v>
      </c>
    </row>
    <row r="16" spans="1:6">
      <c r="A16" s="359" t="s">
        <v>1200</v>
      </c>
      <c r="B16" s="68" t="s">
        <v>1712</v>
      </c>
      <c r="C16" s="320" t="s">
        <v>1671</v>
      </c>
    </row>
    <row r="17" spans="1:6">
      <c r="A17" s="361" t="s">
        <v>1199</v>
      </c>
      <c r="B17" s="318" t="s">
        <v>1711</v>
      </c>
      <c r="C17" s="322" t="s">
        <v>1666</v>
      </c>
    </row>
    <row r="18" spans="1:6">
      <c r="A18" s="383" t="s">
        <v>936</v>
      </c>
      <c r="B18" s="384" t="s">
        <v>1780</v>
      </c>
      <c r="C18" s="384" t="s">
        <v>1732</v>
      </c>
    </row>
    <row r="19" spans="1:6">
      <c r="A19" s="383" t="s">
        <v>1730</v>
      </c>
      <c r="B19" s="385" t="s">
        <v>1733</v>
      </c>
      <c r="C19" s="385" t="s">
        <v>1733</v>
      </c>
    </row>
    <row r="20" spans="1:6">
      <c r="A20" s="383" t="s">
        <v>1260</v>
      </c>
      <c r="B20" s="385">
        <v>354347</v>
      </c>
      <c r="C20" s="386">
        <v>333391</v>
      </c>
    </row>
    <row r="21" spans="1:6">
      <c r="A21" s="383" t="s">
        <v>1731</v>
      </c>
      <c r="B21" s="385">
        <v>14360570</v>
      </c>
      <c r="C21" s="386">
        <v>14360570</v>
      </c>
    </row>
    <row r="22" spans="1:6">
      <c r="A22" s="359" t="s">
        <v>1310</v>
      </c>
      <c r="B22" s="382" t="str">
        <f>B18 &amp; " в " &amp; B19 &amp; " МФО "&amp;B20&amp;" код " &amp; B21</f>
        <v>26001051537209 в ПАТ КБ "ПРИВАТБАНК" МФО 354347 код 14360570</v>
      </c>
      <c r="C22" s="321" t="s">
        <v>1668</v>
      </c>
    </row>
    <row r="23" spans="1:6">
      <c r="A23" s="389" t="s">
        <v>1736</v>
      </c>
      <c r="B23" s="393" t="s">
        <v>1774</v>
      </c>
      <c r="C23" s="391"/>
    </row>
    <row r="24" spans="1:6">
      <c r="A24" s="389" t="s">
        <v>1735</v>
      </c>
      <c r="B24" s="392">
        <v>41451</v>
      </c>
      <c r="C24" s="391"/>
    </row>
    <row r="25" spans="1:6">
      <c r="A25" s="379" t="s">
        <v>1734</v>
      </c>
      <c r="B25" s="381" t="s">
        <v>1777</v>
      </c>
      <c r="C25" s="381"/>
      <c r="F25">
        <f>IF(LEN(DAY(B24))=1,"0"&amp; DAY(B24),DAY(B24))</f>
        <v>26</v>
      </c>
    </row>
    <row r="26" spans="1:6">
      <c r="A26" s="379" t="s">
        <v>1737</v>
      </c>
      <c r="B26" s="387" t="str">
        <f>"дозвіл № " &amp; B23 &amp; " на підставі " &amp; B25 &amp; " від " &amp; IF(LEN(DAY(B24))=1,"0"&amp; DAY(B24),DAY(B24)) &amp; "." &amp; IF(LEN(MONTH(B24))=1,"0"&amp; MONTH(B24),MONTH(B24))&amp; "." &amp; YEAR(B24) &amp; " р., "</f>
        <v xml:space="preserve">дозвіл № 008.18.71 на підставі заяви роботодавця № 50/8 від 26.06.2013 р., </v>
      </c>
      <c r="C26" s="381"/>
    </row>
    <row r="27" spans="1:6">
      <c r="A27" s="389" t="s">
        <v>1738</v>
      </c>
      <c r="B27" s="390" t="s">
        <v>1776</v>
      </c>
      <c r="C27" s="391"/>
    </row>
    <row r="28" spans="1:6">
      <c r="A28" s="389" t="s">
        <v>1739</v>
      </c>
      <c r="B28" s="392">
        <v>43098</v>
      </c>
      <c r="C28" s="391"/>
    </row>
    <row r="29" spans="1:6">
      <c r="A29" s="379" t="s">
        <v>1740</v>
      </c>
      <c r="B29" s="387" t="str">
        <f>"дозвільна справа № " &amp; B27 &amp;" від " &amp; IF(LEN(DAY(B28))=1,"0"&amp; DAY(B28),DAY(B28)) &amp; "." &amp; IF(LEN(MONTH(B28))=1,"0"&amp; MONTH(B28),MONTH(B28)) &amp; "." &amp; YEAR(B24) &amp; " р., "</f>
        <v xml:space="preserve">дозвільна справа № 87545-УДП від 29.12.2013 р., </v>
      </c>
      <c r="C29" s="381"/>
    </row>
    <row r="30" spans="1:6">
      <c r="A30" s="389" t="s">
        <v>1741</v>
      </c>
      <c r="B30" s="390" t="s">
        <v>1775</v>
      </c>
      <c r="C30" s="391"/>
    </row>
    <row r="31" spans="1:6">
      <c r="A31" s="389" t="s">
        <v>1742</v>
      </c>
      <c r="B31" s="392">
        <v>43098</v>
      </c>
      <c r="C31" s="391"/>
    </row>
    <row r="32" spans="1:6">
      <c r="A32" s="389" t="s">
        <v>1744</v>
      </c>
      <c r="B32" s="390" t="s">
        <v>1743</v>
      </c>
      <c r="C32" s="391"/>
    </row>
    <row r="33" spans="1:3">
      <c r="A33" s="379" t="s">
        <v>1737</v>
      </c>
      <c r="B33" s="387" t="str">
        <f>"висновок єкспертизи " &amp;B32 &amp; " № " &amp; B30 &amp; " від "&amp; IF(LEN(DAY(B31))=1,"0"&amp; DAY(B31),DAY(B31)) &amp; "." &amp; IF(LEN(MONTH(B31))=1,"0"&amp; MONTH(B28),MONTH(B31)) &amp; "." &amp; YEAR(B31) &amp; " р. "</f>
        <v xml:space="preserve">висновок єкспертизи Держгірпромнагляду України № 71.04.02.0831.17 від 29.12.2017 р. </v>
      </c>
      <c r="C33" s="381"/>
    </row>
    <row r="34" spans="1:3">
      <c r="A34" s="379" t="s">
        <v>1308</v>
      </c>
      <c r="B34" s="388" t="str">
        <f>B26&amp;B29&amp;B33</f>
        <v xml:space="preserve">дозвіл № 008.18.71 на підставі заяви роботодавця № 50/8 від 26.06.2013 р., дозвільна справа № 87545-УДП від 29.12.2013 р., висновок єкспертизи Держгірпромнагляду України № 71.04.02.0831.17 від 29.12.2017 р. </v>
      </c>
      <c r="C34" s="381" t="s">
        <v>1670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4"/>
  <sheetViews>
    <sheetView workbookViewId="0">
      <selection activeCell="F6" sqref="F6"/>
    </sheetView>
  </sheetViews>
  <sheetFormatPr defaultRowHeight="15"/>
  <cols>
    <col min="1" max="1" width="13.7109375" customWidth="1"/>
    <col min="2" max="2" width="9.28515625" customWidth="1"/>
    <col min="3" max="3" width="49.5703125" customWidth="1"/>
    <col min="4" max="4" width="7.5703125" customWidth="1"/>
    <col min="5" max="5" width="19.85546875" customWidth="1"/>
    <col min="6" max="6" width="14.85546875" customWidth="1"/>
    <col min="7" max="7" width="16.5703125" customWidth="1"/>
  </cols>
  <sheetData>
    <row r="1" spans="1:8" ht="26.25" thickBot="1">
      <c r="A1" s="186" t="s">
        <v>1323</v>
      </c>
      <c r="B1" s="186" t="s">
        <v>1324</v>
      </c>
      <c r="C1" s="186" t="s">
        <v>1325</v>
      </c>
      <c r="D1" s="187" t="s">
        <v>1339</v>
      </c>
      <c r="E1" s="186" t="s">
        <v>1326</v>
      </c>
      <c r="F1" s="187" t="s">
        <v>1338</v>
      </c>
      <c r="G1" s="188" t="s">
        <v>1327</v>
      </c>
      <c r="H1" s="179"/>
    </row>
    <row r="2" spans="1:8" ht="15.75" thickBot="1">
      <c r="A2" s="181" t="s">
        <v>1328</v>
      </c>
      <c r="B2" s="182" t="s">
        <v>1329</v>
      </c>
      <c r="C2" s="182" t="s">
        <v>1330</v>
      </c>
      <c r="D2" s="182" t="s">
        <v>1331</v>
      </c>
      <c r="E2" s="183" t="s">
        <v>1332</v>
      </c>
      <c r="F2" s="184" t="s">
        <v>1333</v>
      </c>
      <c r="G2" s="185" t="s">
        <v>1334</v>
      </c>
      <c r="H2" s="179"/>
    </row>
    <row r="3" spans="1:8" ht="51.75" thickBot="1">
      <c r="A3" s="412">
        <v>1</v>
      </c>
      <c r="B3" s="413"/>
      <c r="C3" s="180" t="str">
        <f>VLOOKUP(fВидШаблона,Рубки!$A$2:$B$4,2,FALSE)</f>
        <v>Прибирання небезпечних дерев,зрізування кущів кущорізом,спилювання пнів,звалювання дерев, обрізка/обрубка гілок,розкряжування хлистів на сортименти, зачищення сучків, сортування</v>
      </c>
      <c r="D3" s="189" t="s">
        <v>1335</v>
      </c>
      <c r="E3" s="472">
        <f>fЛіквід</f>
        <v>140</v>
      </c>
      <c r="F3" s="264">
        <f>IF(fВидШаблона="Молодняк",fВитрати_хлисти_мех,fВитрати_сорт_ручне)</f>
        <v>74.477999999999994</v>
      </c>
      <c r="G3" s="239">
        <f>IF(E3*F3=0,"",E3*F3)</f>
        <v>10426.92</v>
      </c>
      <c r="H3" s="179"/>
    </row>
    <row r="4" spans="1:8" ht="25.5" customHeight="1" thickBot="1">
      <c r="A4" s="710" t="s">
        <v>1337</v>
      </c>
      <c r="B4" s="711"/>
      <c r="C4" s="712"/>
      <c r="D4" s="178"/>
      <c r="E4" s="178"/>
      <c r="F4" s="178"/>
      <c r="G4" s="238">
        <f>SUM(G3:G3)</f>
        <v>10426.92</v>
      </c>
      <c r="H4" s="179"/>
    </row>
  </sheetData>
  <mergeCells count="1">
    <mergeCell ref="A4:C4"/>
  </mergeCell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H4"/>
  <sheetViews>
    <sheetView workbookViewId="0">
      <selection activeCell="E3" sqref="E3"/>
    </sheetView>
  </sheetViews>
  <sheetFormatPr defaultRowHeight="15"/>
  <cols>
    <col min="1" max="1" width="13.7109375" customWidth="1"/>
    <col min="2" max="2" width="9.28515625" customWidth="1"/>
    <col min="3" max="3" width="49.5703125" customWidth="1"/>
    <col min="4" max="4" width="7.5703125" customWidth="1"/>
    <col min="5" max="5" width="19.85546875" customWidth="1"/>
    <col min="6" max="6" width="14.85546875" customWidth="1"/>
    <col min="7" max="7" width="16.5703125" customWidth="1"/>
  </cols>
  <sheetData>
    <row r="1" spans="1:8" ht="26.25" thickBot="1">
      <c r="A1" s="186" t="s">
        <v>1323</v>
      </c>
      <c r="B1" s="186" t="s">
        <v>1324</v>
      </c>
      <c r="C1" s="186" t="s">
        <v>1325</v>
      </c>
      <c r="D1" s="187" t="s">
        <v>1339</v>
      </c>
      <c r="E1" s="186" t="s">
        <v>1326</v>
      </c>
      <c r="F1" s="187" t="s">
        <v>1338</v>
      </c>
      <c r="G1" s="188" t="s">
        <v>1327</v>
      </c>
      <c r="H1" s="179"/>
    </row>
    <row r="2" spans="1:8" ht="15.75" thickBot="1">
      <c r="A2" s="181" t="s">
        <v>1328</v>
      </c>
      <c r="B2" s="182" t="s">
        <v>1329</v>
      </c>
      <c r="C2" s="182" t="s">
        <v>1330</v>
      </c>
      <c r="D2" s="182" t="s">
        <v>1331</v>
      </c>
      <c r="E2" s="183" t="s">
        <v>1332</v>
      </c>
      <c r="F2" s="184" t="s">
        <v>1333</v>
      </c>
      <c r="G2" s="185" t="s">
        <v>1334</v>
      </c>
      <c r="H2" s="179"/>
    </row>
    <row r="3" spans="1:8" ht="26.25" thickBot="1">
      <c r="A3">
        <v>3</v>
      </c>
      <c r="B3" s="178"/>
      <c r="C3" s="473" t="str">
        <f>VLOOKUP(fВидШаблона,Рубки!$A$2:$C$4,3,FALSE)</f>
        <v>Прибирання небезпечних дерев,звалювання лісу,обрізка/обрубка гілок із збиранням та спалюванням.</v>
      </c>
      <c r="D3" s="189" t="s">
        <v>1335</v>
      </c>
      <c r="E3" s="472">
        <f>fЛіквід</f>
        <v>140</v>
      </c>
      <c r="F3" s="264">
        <f>fВитрати_хлисти_мех</f>
        <v>74.477999999999994</v>
      </c>
      <c r="G3" s="239">
        <f>IF(E3*F3=0,"",E3*F3)</f>
        <v>10426.92</v>
      </c>
      <c r="H3" s="179"/>
    </row>
    <row r="4" spans="1:8" ht="25.5" customHeight="1" thickBot="1">
      <c r="A4" s="710" t="s">
        <v>1337</v>
      </c>
      <c r="B4" s="711"/>
      <c r="C4" s="712"/>
      <c r="D4" s="178"/>
      <c r="E4" s="178"/>
      <c r="F4" s="178"/>
      <c r="G4" s="238">
        <f>SUM(G3:G3)</f>
        <v>10426.92</v>
      </c>
      <c r="H4" s="179"/>
    </row>
  </sheetData>
  <mergeCells count="1">
    <mergeCell ref="A4:C4"/>
  </mergeCells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3"/>
  <sheetViews>
    <sheetView workbookViewId="0">
      <selection activeCell="B14" sqref="B14"/>
    </sheetView>
  </sheetViews>
  <sheetFormatPr defaultRowHeight="15"/>
  <cols>
    <col min="1" max="1" width="32.5703125" customWidth="1"/>
    <col min="2" max="2" width="19.42578125" customWidth="1"/>
    <col min="3" max="3" width="17.28515625" customWidth="1"/>
    <col min="4" max="4" width="12.28515625" customWidth="1"/>
    <col min="5" max="5" width="12.42578125" customWidth="1"/>
  </cols>
  <sheetData>
    <row r="1" spans="1:5" ht="15.75" thickBot="1">
      <c r="A1" s="201" t="s">
        <v>1375</v>
      </c>
      <c r="B1" s="202" t="s">
        <v>1344</v>
      </c>
      <c r="C1" s="202" t="s">
        <v>1376</v>
      </c>
      <c r="D1" s="202" t="s">
        <v>1377</v>
      </c>
      <c r="E1" s="202" t="s">
        <v>388</v>
      </c>
    </row>
    <row r="2" spans="1:5" ht="15.75" thickBot="1">
      <c r="A2" s="240" t="s">
        <v>1378</v>
      </c>
      <c r="B2" s="241" t="s">
        <v>1335</v>
      </c>
      <c r="C2" s="471">
        <f>'Таблица Кошторис'!E3</f>
        <v>140</v>
      </c>
      <c r="D2" s="315">
        <f>'Таблица Кошторис'!F3</f>
        <v>74.477999999999994</v>
      </c>
      <c r="E2" s="242">
        <f>IF(C2*D2=0,"",C2*D2)</f>
        <v>10426.92</v>
      </c>
    </row>
    <row r="3" spans="1:5" ht="16.5" thickBot="1">
      <c r="A3" s="713" t="s">
        <v>1349</v>
      </c>
      <c r="B3" s="714"/>
      <c r="C3" s="714"/>
      <c r="D3" s="715"/>
      <c r="E3" s="235">
        <f>SUM(E2:E2)</f>
        <v>10426.92</v>
      </c>
    </row>
  </sheetData>
  <mergeCells count="1">
    <mergeCell ref="A3:D3"/>
  </mergeCells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K18"/>
  <sheetViews>
    <sheetView workbookViewId="0">
      <selection activeCell="I27" sqref="H27:I27"/>
    </sheetView>
  </sheetViews>
  <sheetFormatPr defaultColWidth="8.85546875" defaultRowHeight="12.75"/>
  <cols>
    <col min="1" max="1" width="17.140625" style="25" customWidth="1"/>
    <col min="2" max="2" width="20.5703125" style="25" customWidth="1"/>
    <col min="3" max="3" width="17.85546875" style="25" customWidth="1"/>
    <col min="4" max="4" width="16.5703125" style="25" customWidth="1"/>
    <col min="5" max="5" width="14.28515625" style="25" customWidth="1"/>
    <col min="6" max="6" width="19" style="25" customWidth="1"/>
    <col min="7" max="16384" width="8.85546875" style="25"/>
  </cols>
  <sheetData>
    <row r="1" spans="1:11">
      <c r="A1" s="65" t="s">
        <v>880</v>
      </c>
      <c r="B1" s="65" t="s">
        <v>885</v>
      </c>
      <c r="C1" s="65" t="s">
        <v>890</v>
      </c>
      <c r="D1" s="65" t="s">
        <v>896</v>
      </c>
      <c r="E1" s="65" t="s">
        <v>901</v>
      </c>
      <c r="F1" s="66" t="s">
        <v>906</v>
      </c>
    </row>
    <row r="2" spans="1:11" ht="15">
      <c r="A2" s="63" t="s">
        <v>931</v>
      </c>
      <c r="B2" s="63" t="s">
        <v>911</v>
      </c>
      <c r="C2" s="63" t="s">
        <v>999</v>
      </c>
      <c r="D2" s="63" t="s">
        <v>920</v>
      </c>
      <c r="E2" s="63" t="s">
        <v>928</v>
      </c>
      <c r="F2" s="64" t="s">
        <v>932</v>
      </c>
      <c r="J2" s="25" t="s">
        <v>1163</v>
      </c>
      <c r="K2" s="25" t="s">
        <v>1173</v>
      </c>
    </row>
    <row r="3" spans="1:11" ht="19.899999999999999" customHeight="1">
      <c r="A3" s="63" t="s">
        <v>1010</v>
      </c>
      <c r="B3" s="63" t="s">
        <v>924</v>
      </c>
      <c r="C3" s="63" t="s">
        <v>917</v>
      </c>
      <c r="D3" s="63" t="s">
        <v>1015</v>
      </c>
      <c r="E3" s="63" t="s">
        <v>1021</v>
      </c>
      <c r="F3" s="64" t="s">
        <v>1027</v>
      </c>
      <c r="J3" s="25" t="s">
        <v>1164</v>
      </c>
      <c r="K3" s="25" t="s">
        <v>1165</v>
      </c>
    </row>
    <row r="4" spans="1:11" ht="15">
      <c r="A4" s="63" t="s">
        <v>1036</v>
      </c>
      <c r="B4" s="63" t="s">
        <v>1011</v>
      </c>
      <c r="C4" s="63" t="s">
        <v>912</v>
      </c>
      <c r="D4" s="63" t="s">
        <v>922</v>
      </c>
      <c r="E4" s="63" t="s">
        <v>1017</v>
      </c>
      <c r="F4" s="64" t="s">
        <v>933</v>
      </c>
      <c r="J4" s="25" t="s">
        <v>1166</v>
      </c>
      <c r="K4" s="25" t="s">
        <v>1167</v>
      </c>
    </row>
    <row r="5" spans="1:11" ht="30">
      <c r="A5" s="63" t="s">
        <v>1009</v>
      </c>
      <c r="B5" s="63" t="s">
        <v>1012</v>
      </c>
      <c r="C5" s="63" t="s">
        <v>1001</v>
      </c>
      <c r="D5" s="63" t="s">
        <v>913</v>
      </c>
      <c r="E5" s="63" t="s">
        <v>1018</v>
      </c>
      <c r="F5" s="64" t="s">
        <v>923</v>
      </c>
      <c r="J5" s="25" t="s">
        <v>1168</v>
      </c>
      <c r="K5" s="25" t="s">
        <v>1169</v>
      </c>
    </row>
    <row r="6" spans="1:11" ht="19.149999999999999" customHeight="1">
      <c r="A6" s="63" t="s">
        <v>1008</v>
      </c>
      <c r="B6" s="63" t="s">
        <v>919</v>
      </c>
      <c r="C6" s="63" t="s">
        <v>1006</v>
      </c>
      <c r="D6" s="41"/>
      <c r="E6" s="63" t="s">
        <v>921</v>
      </c>
      <c r="F6" s="64" t="s">
        <v>918</v>
      </c>
      <c r="J6" s="25" t="s">
        <v>1170</v>
      </c>
      <c r="K6" s="25" t="s">
        <v>1171</v>
      </c>
    </row>
    <row r="7" spans="1:11" ht="30">
      <c r="A7" s="63" t="s">
        <v>910</v>
      </c>
      <c r="B7" s="63" t="s">
        <v>916</v>
      </c>
      <c r="C7" s="63" t="s">
        <v>1002</v>
      </c>
      <c r="D7" s="60"/>
      <c r="E7" s="63" t="s">
        <v>1022</v>
      </c>
      <c r="F7" s="64" t="s">
        <v>1026</v>
      </c>
      <c r="J7" s="25" t="s">
        <v>1172</v>
      </c>
      <c r="K7" s="25" t="s">
        <v>1173</v>
      </c>
    </row>
    <row r="8" spans="1:11" ht="15">
      <c r="A8" s="63" t="s">
        <v>1198</v>
      </c>
      <c r="B8" s="63" t="s">
        <v>926</v>
      </c>
      <c r="C8" s="63" t="s">
        <v>927</v>
      </c>
      <c r="D8" s="60"/>
      <c r="E8" s="63" t="s">
        <v>914</v>
      </c>
      <c r="F8" s="64" t="s">
        <v>1024</v>
      </c>
      <c r="J8" s="25" t="s">
        <v>1174</v>
      </c>
      <c r="K8" s="25" t="s">
        <v>1175</v>
      </c>
    </row>
    <row r="9" spans="1:11" ht="15">
      <c r="A9" s="63" t="s">
        <v>1007</v>
      </c>
      <c r="B9" s="60"/>
      <c r="C9" s="63" t="s">
        <v>1037</v>
      </c>
      <c r="D9" s="60"/>
      <c r="E9" s="63" t="s">
        <v>1019</v>
      </c>
      <c r="F9" s="64" t="s">
        <v>930</v>
      </c>
      <c r="J9" s="25" t="s">
        <v>1176</v>
      </c>
      <c r="K9" s="25" t="s">
        <v>1196</v>
      </c>
    </row>
    <row r="10" spans="1:11" ht="15">
      <c r="A10" s="60"/>
      <c r="B10" s="60"/>
      <c r="C10" s="60"/>
      <c r="D10" s="60"/>
      <c r="E10" s="63" t="s">
        <v>929</v>
      </c>
      <c r="F10" s="64" t="s">
        <v>1035</v>
      </c>
      <c r="J10" s="25" t="s">
        <v>1177</v>
      </c>
      <c r="K10" s="25" t="s">
        <v>1178</v>
      </c>
    </row>
    <row r="11" spans="1:11" ht="15">
      <c r="A11" s="60"/>
      <c r="B11" s="60"/>
      <c r="C11" s="60"/>
      <c r="D11" s="60"/>
      <c r="E11" s="63" t="s">
        <v>1023</v>
      </c>
      <c r="F11" s="64" t="s">
        <v>1025</v>
      </c>
      <c r="J11" s="25" t="s">
        <v>1179</v>
      </c>
      <c r="K11" s="25" t="s">
        <v>1180</v>
      </c>
    </row>
    <row r="12" spans="1:11" ht="15">
      <c r="A12" s="60"/>
      <c r="B12" s="60"/>
      <c r="C12" s="60"/>
      <c r="D12" s="60"/>
      <c r="E12" s="63" t="s">
        <v>1782</v>
      </c>
      <c r="F12" s="64" t="s">
        <v>915</v>
      </c>
      <c r="J12" s="25" t="s">
        <v>1181</v>
      </c>
      <c r="K12" s="25" t="s">
        <v>1182</v>
      </c>
    </row>
    <row r="13" spans="1:11" ht="15">
      <c r="B13" s="60"/>
      <c r="C13" s="60"/>
      <c r="D13" s="60"/>
      <c r="E13" s="60"/>
      <c r="F13" s="64" t="s">
        <v>925</v>
      </c>
      <c r="J13" s="25" t="s">
        <v>1183</v>
      </c>
      <c r="K13" s="25" t="s">
        <v>1190</v>
      </c>
    </row>
    <row r="14" spans="1:11">
      <c r="J14" s="25" t="s">
        <v>1171</v>
      </c>
      <c r="K14" s="25" t="s">
        <v>1184</v>
      </c>
    </row>
    <row r="15" spans="1:11">
      <c r="J15" s="25" t="s">
        <v>1185</v>
      </c>
      <c r="K15" s="25" t="s">
        <v>1186</v>
      </c>
    </row>
    <row r="16" spans="1:11">
      <c r="J16" s="25" t="s">
        <v>1187</v>
      </c>
      <c r="K16" s="25" t="s">
        <v>1214</v>
      </c>
    </row>
    <row r="17" spans="10:11">
      <c r="J17" s="25" t="s">
        <v>1173</v>
      </c>
      <c r="K17" s="25" t="s">
        <v>1197</v>
      </c>
    </row>
    <row r="18" spans="10:11">
      <c r="J18" s="25" t="s">
        <v>1188</v>
      </c>
      <c r="K18" s="25" t="s">
        <v>1189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60"/>
  <sheetViews>
    <sheetView topLeftCell="A19" workbookViewId="0">
      <selection activeCell="K29" sqref="K29"/>
    </sheetView>
  </sheetViews>
  <sheetFormatPr defaultRowHeight="15"/>
  <cols>
    <col min="1" max="1" width="18.5703125" customWidth="1"/>
    <col min="2" max="2" width="10.28515625" customWidth="1"/>
    <col min="3" max="3" width="9.42578125" customWidth="1"/>
    <col min="4" max="4" width="13.5703125" customWidth="1"/>
    <col min="5" max="5" width="8.140625" customWidth="1"/>
    <col min="6" max="6" width="13.5703125" customWidth="1"/>
    <col min="7" max="7" width="13.7109375" customWidth="1"/>
    <col min="8" max="8" width="19" customWidth="1"/>
    <col min="9" max="9" width="16.42578125" customWidth="1"/>
    <col min="10" max="10" width="14.42578125" customWidth="1"/>
    <col min="11" max="11" width="25.85546875" customWidth="1"/>
    <col min="12" max="12" width="15" customWidth="1"/>
    <col min="13" max="13" width="13.7109375" customWidth="1"/>
    <col min="14" max="14" width="14.28515625" customWidth="1"/>
    <col min="15" max="15" width="13.42578125" customWidth="1"/>
    <col min="16" max="16" width="11.42578125" customWidth="1"/>
    <col min="18" max="18" width="13.5703125" customWidth="1"/>
  </cols>
  <sheetData>
    <row r="1" spans="1:16" ht="37.5">
      <c r="A1" t="s">
        <v>1191</v>
      </c>
      <c r="B1" t="s">
        <v>1192</v>
      </c>
      <c r="C1" t="s">
        <v>1209</v>
      </c>
      <c r="D1" t="s">
        <v>1193</v>
      </c>
      <c r="E1" t="s">
        <v>1194</v>
      </c>
      <c r="F1" t="s">
        <v>1208</v>
      </c>
      <c r="G1" t="s">
        <v>1195</v>
      </c>
      <c r="H1" t="s">
        <v>1207</v>
      </c>
      <c r="I1" s="82" t="s">
        <v>1201</v>
      </c>
      <c r="J1" s="82" t="s">
        <v>1217</v>
      </c>
      <c r="K1" s="82" t="s">
        <v>1202</v>
      </c>
      <c r="L1" s="82" t="s">
        <v>1203</v>
      </c>
      <c r="M1" s="82" t="s">
        <v>1204</v>
      </c>
      <c r="N1" s="82" t="s">
        <v>1205</v>
      </c>
      <c r="O1" s="82" t="s">
        <v>1206</v>
      </c>
      <c r="P1" s="276" t="s">
        <v>1571</v>
      </c>
    </row>
    <row r="2" spans="1:16">
      <c r="A2" s="63" t="s">
        <v>911</v>
      </c>
      <c r="B2" t="s">
        <v>885</v>
      </c>
      <c r="C2" s="2" t="str">
        <f t="shared" ref="C2:C33" si="0">RIGHT(A2,LEN(A2)-FIND(" ",A2,1))</f>
        <v>В.Д.</v>
      </c>
      <c r="D2" t="str">
        <f t="shared" ref="D2:D33" si="1">LEFT(A2,FIND(" ",A2,1))</f>
        <v xml:space="preserve">Андрійченко </v>
      </c>
      <c r="J2" t="str">
        <f>REPLACE(D2,SEARCH("ко",D2,1),2,"ка")</f>
        <v xml:space="preserve">Андрійченка </v>
      </c>
    </row>
    <row r="3" spans="1:16">
      <c r="A3" s="63" t="s">
        <v>999</v>
      </c>
      <c r="B3" t="s">
        <v>890</v>
      </c>
      <c r="C3" s="2" t="str">
        <f t="shared" si="0"/>
        <v>О.М.</v>
      </c>
      <c r="D3" t="str">
        <f t="shared" si="1"/>
        <v xml:space="preserve">Баліцкий </v>
      </c>
      <c r="J3" t="str">
        <f>REPLACE(D3,SEARCH("ий",D3,1),2,"ого")</f>
        <v xml:space="preserve">Баліцкого </v>
      </c>
    </row>
    <row r="4" spans="1:16">
      <c r="A4" s="63" t="s">
        <v>928</v>
      </c>
      <c r="B4" t="s">
        <v>901</v>
      </c>
      <c r="C4" s="2" t="str">
        <f t="shared" si="0"/>
        <v>В.С.</v>
      </c>
      <c r="D4" t="str">
        <f t="shared" si="1"/>
        <v xml:space="preserve">Білоус </v>
      </c>
      <c r="J4" t="str">
        <f>REPLACE(D4,SEARCH("с",D4,1),2,"са")</f>
        <v>Білоуса</v>
      </c>
    </row>
    <row r="5" spans="1:16">
      <c r="A5" s="63" t="s">
        <v>924</v>
      </c>
      <c r="B5" t="s">
        <v>885</v>
      </c>
      <c r="C5" s="2" t="str">
        <f t="shared" si="0"/>
        <v>Д. В.</v>
      </c>
      <c r="D5" t="str">
        <f t="shared" si="1"/>
        <v xml:space="preserve">Богданов </v>
      </c>
      <c r="J5" t="str">
        <f>REPLACE(D5,SEARCH("в",D5,1),2,"ва")</f>
        <v>Богданова</v>
      </c>
    </row>
    <row r="6" spans="1:16">
      <c r="A6" s="63" t="s">
        <v>1011</v>
      </c>
      <c r="B6" t="s">
        <v>885</v>
      </c>
      <c r="C6" s="2" t="str">
        <f t="shared" si="0"/>
        <v>В.Ф.</v>
      </c>
      <c r="D6" t="str">
        <f t="shared" si="1"/>
        <v xml:space="preserve">Габелок </v>
      </c>
      <c r="J6" t="str">
        <f>REPLACE(D6,SEARCH("ок",D6,1),2,"ка")</f>
        <v xml:space="preserve">Габелка </v>
      </c>
    </row>
    <row r="7" spans="1:16">
      <c r="A7" s="63" t="s">
        <v>931</v>
      </c>
      <c r="B7" t="s">
        <v>880</v>
      </c>
      <c r="C7" s="2" t="str">
        <f t="shared" si="0"/>
        <v>В.В.</v>
      </c>
      <c r="D7" t="str">
        <f t="shared" si="1"/>
        <v xml:space="preserve">Гончар </v>
      </c>
      <c r="J7" t="str">
        <f>REPLACE(D7,SEARCH("р",D7,1),2,"ра")</f>
        <v>Гончара</v>
      </c>
    </row>
    <row r="8" spans="1:16">
      <c r="A8" s="63" t="s">
        <v>920</v>
      </c>
      <c r="B8" t="s">
        <v>896</v>
      </c>
      <c r="C8" s="2" t="str">
        <f t="shared" si="0"/>
        <v>Р.П.</v>
      </c>
      <c r="D8" t="str">
        <f t="shared" si="1"/>
        <v xml:space="preserve">Довгань </v>
      </c>
      <c r="J8" t="str">
        <f>REPLACE(D8,SEARCH("нь",D8,1),2,"ня")</f>
        <v xml:space="preserve">Довганя </v>
      </c>
    </row>
    <row r="9" spans="1:16">
      <c r="A9" s="63" t="s">
        <v>932</v>
      </c>
      <c r="B9" t="s">
        <v>906</v>
      </c>
      <c r="C9" s="2" t="str">
        <f t="shared" si="0"/>
        <v>В.М.</v>
      </c>
      <c r="D9" t="str">
        <f t="shared" si="1"/>
        <v xml:space="preserve">Дудник </v>
      </c>
      <c r="J9" t="str">
        <f>REPLACE(D9,SEARCH("ик",D9,1),2,"ка")</f>
        <v xml:space="preserve">Дуднка </v>
      </c>
    </row>
    <row r="10" spans="1:16">
      <c r="A10" s="63" t="s">
        <v>1021</v>
      </c>
      <c r="B10" t="s">
        <v>901</v>
      </c>
      <c r="C10" s="2" t="str">
        <f t="shared" si="0"/>
        <v>Ф.Т.</v>
      </c>
      <c r="D10" t="str">
        <f t="shared" si="1"/>
        <v xml:space="preserve">Дяченко </v>
      </c>
      <c r="J10" t="str">
        <f>REPLACE(D10,SEARCH("ко",D10,1),2,"ка")</f>
        <v xml:space="preserve">Дяченка </v>
      </c>
    </row>
    <row r="11" spans="1:16">
      <c r="A11" s="63" t="s">
        <v>1010</v>
      </c>
      <c r="B11" t="s">
        <v>880</v>
      </c>
      <c r="C11" s="2" t="str">
        <f t="shared" si="0"/>
        <v>А.В.</v>
      </c>
      <c r="D11" t="str">
        <f t="shared" si="1"/>
        <v xml:space="preserve">Жоломко </v>
      </c>
      <c r="J11" t="str">
        <f>REPLACE(D11,SEARCH("ко",D11,1),2,"ка")</f>
        <v xml:space="preserve">Жоломка </v>
      </c>
    </row>
    <row r="12" spans="1:16">
      <c r="A12" s="63" t="s">
        <v>1017</v>
      </c>
      <c r="B12" t="s">
        <v>901</v>
      </c>
      <c r="C12" s="2" t="str">
        <f t="shared" si="0"/>
        <v>В.П.</v>
      </c>
      <c r="D12" t="str">
        <f t="shared" si="1"/>
        <v xml:space="preserve">Завалій </v>
      </c>
      <c r="J12" t="str">
        <f>REPLACE(D12,SEARCH("ій",D12,1),2,"ія")</f>
        <v xml:space="preserve">Завалія </v>
      </c>
    </row>
    <row r="13" spans="1:16">
      <c r="A13" s="63" t="s">
        <v>917</v>
      </c>
      <c r="B13" t="s">
        <v>890</v>
      </c>
      <c r="C13" s="2" t="str">
        <f t="shared" si="0"/>
        <v>В.В.</v>
      </c>
      <c r="D13" t="str">
        <f t="shared" si="1"/>
        <v xml:space="preserve">Іванов </v>
      </c>
      <c r="J13" t="s">
        <v>1210</v>
      </c>
    </row>
    <row r="14" spans="1:16">
      <c r="A14" s="63" t="s">
        <v>1036</v>
      </c>
      <c r="B14" t="s">
        <v>880</v>
      </c>
      <c r="C14" s="2" t="str">
        <f t="shared" si="0"/>
        <v>О.М.</v>
      </c>
      <c r="D14" t="str">
        <f t="shared" si="1"/>
        <v xml:space="preserve">Івченко </v>
      </c>
      <c r="J14" t="str">
        <f>REPLACE(D14,SEARCH("ко",D14,1),2,"ка")</f>
        <v xml:space="preserve">Івченка </v>
      </c>
    </row>
    <row r="15" spans="1:16">
      <c r="A15" s="63" t="s">
        <v>1018</v>
      </c>
      <c r="B15" t="s">
        <v>901</v>
      </c>
      <c r="C15" s="2" t="str">
        <f t="shared" si="0"/>
        <v>В.М.</v>
      </c>
      <c r="D15" t="str">
        <f t="shared" si="1"/>
        <v xml:space="preserve">Кальченко </v>
      </c>
      <c r="J15" t="str">
        <f>REPLACE(D15,SEARCH("ко",D15,1),2,"ка")</f>
        <v xml:space="preserve">Кальченка </v>
      </c>
    </row>
    <row r="16" spans="1:16">
      <c r="A16" s="63" t="s">
        <v>1009</v>
      </c>
      <c r="B16" t="s">
        <v>880</v>
      </c>
      <c r="C16" s="2" t="str">
        <f t="shared" si="0"/>
        <v>Г.М.</v>
      </c>
      <c r="D16" t="str">
        <f t="shared" si="1"/>
        <v xml:space="preserve">Катриченко </v>
      </c>
      <c r="J16" t="str">
        <f>REPLACE(D16,SEARCH("ко",D16,1),2,"ка")</f>
        <v xml:space="preserve">Катриченка </v>
      </c>
    </row>
    <row r="17" spans="1:10">
      <c r="A17" s="63" t="s">
        <v>921</v>
      </c>
      <c r="B17" t="s">
        <v>901</v>
      </c>
      <c r="C17" s="2" t="str">
        <f t="shared" si="0"/>
        <v>П.А.</v>
      </c>
      <c r="D17" t="str">
        <f t="shared" si="1"/>
        <v xml:space="preserve">Кислиця </v>
      </c>
      <c r="J17" t="str">
        <f>REPLACE(D17,SEARCH("ця",D17,1),2,"ци")</f>
        <v xml:space="preserve">Кислици </v>
      </c>
    </row>
    <row r="18" spans="1:10">
      <c r="A18" s="63" t="s">
        <v>1012</v>
      </c>
      <c r="B18" t="s">
        <v>885</v>
      </c>
      <c r="C18" s="2" t="str">
        <f t="shared" si="0"/>
        <v>П.М.</v>
      </c>
      <c r="D18" t="str">
        <f t="shared" si="1"/>
        <v xml:space="preserve">Коломієць </v>
      </c>
      <c r="J18" t="s">
        <v>1213</v>
      </c>
    </row>
    <row r="19" spans="1:10">
      <c r="A19" s="63" t="s">
        <v>1027</v>
      </c>
      <c r="B19" t="s">
        <v>906</v>
      </c>
      <c r="C19" s="2" t="str">
        <f t="shared" si="0"/>
        <v>Ю.М.</v>
      </c>
      <c r="D19" t="str">
        <f t="shared" si="1"/>
        <v xml:space="preserve">Коломієць </v>
      </c>
      <c r="J19" t="s">
        <v>1213</v>
      </c>
    </row>
    <row r="20" spans="1:10">
      <c r="A20" s="63" t="s">
        <v>933</v>
      </c>
      <c r="B20" t="s">
        <v>906</v>
      </c>
      <c r="C20" s="2" t="str">
        <f t="shared" si="0"/>
        <v>М.О.</v>
      </c>
      <c r="D20" t="str">
        <f t="shared" si="1"/>
        <v xml:space="preserve">Кулик </v>
      </c>
      <c r="J20" t="s">
        <v>1516</v>
      </c>
    </row>
    <row r="21" spans="1:10">
      <c r="A21" s="63" t="s">
        <v>923</v>
      </c>
      <c r="B21" t="s">
        <v>906</v>
      </c>
      <c r="C21" s="2" t="str">
        <f t="shared" si="0"/>
        <v>Ю.Г.</v>
      </c>
      <c r="D21" t="str">
        <f t="shared" si="1"/>
        <v xml:space="preserve">Лозовий </v>
      </c>
      <c r="J21" t="str">
        <f>REPLACE(D21,SEARCH("ий",D21,1),2,"ого")</f>
        <v xml:space="preserve">Лозового </v>
      </c>
    </row>
    <row r="22" spans="1:10">
      <c r="A22" s="63" t="s">
        <v>1022</v>
      </c>
      <c r="B22" t="s">
        <v>901</v>
      </c>
      <c r="C22" s="2" t="str">
        <f t="shared" si="0"/>
        <v>С.І.</v>
      </c>
      <c r="D22" t="str">
        <f t="shared" si="1"/>
        <v xml:space="preserve">Ляпун </v>
      </c>
      <c r="J22" t="str">
        <f>REPLACE(D22,SEARCH("н",D22,1),2,"на")</f>
        <v>Ляпуна</v>
      </c>
    </row>
    <row r="23" spans="1:10">
      <c r="A23" s="63" t="s">
        <v>912</v>
      </c>
      <c r="B23" t="s">
        <v>890</v>
      </c>
      <c r="C23" s="2" t="str">
        <f t="shared" si="0"/>
        <v>В.М.</v>
      </c>
      <c r="D23" t="str">
        <f t="shared" si="1"/>
        <v xml:space="preserve">Майборода </v>
      </c>
      <c r="J23" t="str">
        <f>REPLACE(D23,SEARCH("да",D23,1),2,"ди")</f>
        <v xml:space="preserve">Майбороди </v>
      </c>
    </row>
    <row r="24" spans="1:10">
      <c r="A24" s="63" t="s">
        <v>1008</v>
      </c>
      <c r="B24" t="s">
        <v>880</v>
      </c>
      <c r="C24" s="2" t="str">
        <f t="shared" si="0"/>
        <v>О.В.</v>
      </c>
      <c r="D24" t="str">
        <f t="shared" si="1"/>
        <v xml:space="preserve">Михальченко </v>
      </c>
      <c r="J24" t="str">
        <f>REPLACE(D24,SEARCH("ко",D24,1),2,"ка")</f>
        <v xml:space="preserve">Михальченка </v>
      </c>
    </row>
    <row r="25" spans="1:10">
      <c r="A25" s="63" t="s">
        <v>1024</v>
      </c>
      <c r="B25" t="s">
        <v>906</v>
      </c>
      <c r="C25" s="2" t="str">
        <f t="shared" si="0"/>
        <v>В.В.</v>
      </c>
      <c r="D25" t="str">
        <f t="shared" si="1"/>
        <v xml:space="preserve">Павлюк </v>
      </c>
      <c r="J25" t="str">
        <f>REPLACE(D25,SEARCH("к",D25,1),2,"ка")</f>
        <v>Павлюка</v>
      </c>
    </row>
    <row r="26" spans="1:10">
      <c r="A26" s="63" t="s">
        <v>918</v>
      </c>
      <c r="B26" t="s">
        <v>906</v>
      </c>
      <c r="C26" s="2" t="str">
        <f t="shared" si="0"/>
        <v>О.В.</v>
      </c>
      <c r="D26" t="str">
        <f t="shared" si="1"/>
        <v xml:space="preserve">Перевозчиков </v>
      </c>
      <c r="J26" t="s">
        <v>1212</v>
      </c>
    </row>
    <row r="27" spans="1:10">
      <c r="A27" s="63" t="s">
        <v>1026</v>
      </c>
      <c r="B27" t="s">
        <v>906</v>
      </c>
      <c r="C27" s="2" t="str">
        <f t="shared" si="0"/>
        <v>В.М.</v>
      </c>
      <c r="D27" t="str">
        <f t="shared" si="1"/>
        <v xml:space="preserve">Перегон </v>
      </c>
      <c r="J27" t="str">
        <f>REPLACE(D27,SEARCH("н",D27,1),2,"на")</f>
        <v>Перегона</v>
      </c>
    </row>
    <row r="28" spans="1:10">
      <c r="A28" s="63" t="s">
        <v>1006</v>
      </c>
      <c r="B28" t="s">
        <v>890</v>
      </c>
      <c r="C28" s="2" t="str">
        <f t="shared" si="0"/>
        <v>М.В.</v>
      </c>
      <c r="D28" t="str">
        <f t="shared" si="1"/>
        <v xml:space="preserve">Поліщук </v>
      </c>
      <c r="J28" t="s">
        <v>1211</v>
      </c>
    </row>
    <row r="29" spans="1:10">
      <c r="A29" s="63" t="s">
        <v>1001</v>
      </c>
      <c r="B29" t="s">
        <v>890</v>
      </c>
      <c r="C29" s="2" t="str">
        <f t="shared" si="0"/>
        <v>П.В.</v>
      </c>
      <c r="D29" t="str">
        <f t="shared" si="1"/>
        <v xml:space="preserve">Поліщук </v>
      </c>
      <c r="J29" t="s">
        <v>1211</v>
      </c>
    </row>
    <row r="30" spans="1:10">
      <c r="A30" s="63" t="s">
        <v>910</v>
      </c>
      <c r="B30" t="s">
        <v>880</v>
      </c>
      <c r="C30" s="2" t="str">
        <f t="shared" si="0"/>
        <v>Р.В.</v>
      </c>
      <c r="D30" t="str">
        <f t="shared" si="1"/>
        <v xml:space="preserve">Пономаренко </v>
      </c>
      <c r="J30" t="str">
        <f>REPLACE(D30,SEARCH("ко",D30,1),2,"ка")</f>
        <v xml:space="preserve">Пономаренка </v>
      </c>
    </row>
    <row r="31" spans="1:10">
      <c r="A31" s="63" t="s">
        <v>930</v>
      </c>
      <c r="B31" t="s">
        <v>906</v>
      </c>
      <c r="C31" s="2" t="str">
        <f t="shared" si="0"/>
        <v>В.В.</v>
      </c>
      <c r="D31" t="str">
        <f t="shared" si="1"/>
        <v xml:space="preserve">Пряжка </v>
      </c>
      <c r="J31" t="str">
        <f>REPLACE(D31,SEARCH("ка",D31,1),2,"ки")</f>
        <v xml:space="preserve">Пряжки </v>
      </c>
    </row>
    <row r="32" spans="1:10">
      <c r="A32" s="63" t="s">
        <v>1015</v>
      </c>
      <c r="B32" t="s">
        <v>896</v>
      </c>
      <c r="C32" s="2" t="str">
        <f t="shared" si="0"/>
        <v>С.В.</v>
      </c>
      <c r="D32" t="str">
        <f t="shared" si="1"/>
        <v xml:space="preserve">Романченко </v>
      </c>
      <c r="J32" t="str">
        <f>REPLACE(D32,SEARCH("ко",D32,1),2,"ка")</f>
        <v xml:space="preserve">Романченка </v>
      </c>
    </row>
    <row r="33" spans="1:10">
      <c r="A33" s="63" t="s">
        <v>922</v>
      </c>
      <c r="B33" t="s">
        <v>896</v>
      </c>
      <c r="C33" s="2" t="str">
        <f t="shared" si="0"/>
        <v>М.Г.</v>
      </c>
      <c r="D33" t="str">
        <f t="shared" si="1"/>
        <v xml:space="preserve">Рудас </v>
      </c>
      <c r="J33" t="str">
        <f>REPLACE(D33,SEARCH("с",D33,1),2,"са")</f>
        <v>Рудаса</v>
      </c>
    </row>
    <row r="34" spans="1:10">
      <c r="A34" s="63" t="s">
        <v>914</v>
      </c>
      <c r="B34" t="s">
        <v>901</v>
      </c>
      <c r="C34" s="2" t="str">
        <f t="shared" ref="C34:C50" si="2">RIGHT(A34,LEN(A34)-FIND(" ",A34,1))</f>
        <v>О.В.</v>
      </c>
      <c r="D34" t="str">
        <f t="shared" ref="D34:D50" si="3">LEFT(A34,FIND(" ",A34,1))</f>
        <v xml:space="preserve">Савченко </v>
      </c>
      <c r="J34" t="str">
        <f>REPLACE(D34,SEARCH("ко",D34,1),2,"ка")</f>
        <v xml:space="preserve">Савченка </v>
      </c>
    </row>
    <row r="35" spans="1:10">
      <c r="A35" s="63" t="s">
        <v>1002</v>
      </c>
      <c r="B35" t="s">
        <v>890</v>
      </c>
      <c r="C35" s="2" t="str">
        <f t="shared" si="2"/>
        <v>М.В.</v>
      </c>
      <c r="D35" t="str">
        <f t="shared" si="3"/>
        <v xml:space="preserve">Сингай </v>
      </c>
      <c r="J35" t="str">
        <f>REPLACE(D35,SEARCH("ай",D35,1),2,"ая")</f>
        <v xml:space="preserve">Сингая </v>
      </c>
    </row>
    <row r="36" spans="1:10">
      <c r="A36" s="63" t="s">
        <v>1035</v>
      </c>
      <c r="B36" t="s">
        <v>906</v>
      </c>
      <c r="C36" s="2" t="str">
        <f t="shared" si="2"/>
        <v>І.І.</v>
      </c>
      <c r="D36" t="str">
        <f t="shared" si="3"/>
        <v xml:space="preserve">Скрипник </v>
      </c>
      <c r="J36" t="s">
        <v>1215</v>
      </c>
    </row>
    <row r="37" spans="1:10">
      <c r="A37" s="63" t="s">
        <v>1025</v>
      </c>
      <c r="B37" t="s">
        <v>906</v>
      </c>
      <c r="C37" s="2" t="str">
        <f t="shared" si="2"/>
        <v>С.І.</v>
      </c>
      <c r="D37" t="str">
        <f t="shared" si="3"/>
        <v xml:space="preserve">Скрипник </v>
      </c>
      <c r="J37" t="s">
        <v>1215</v>
      </c>
    </row>
    <row r="38" spans="1:10">
      <c r="A38" s="63" t="s">
        <v>915</v>
      </c>
      <c r="B38" t="s">
        <v>906</v>
      </c>
      <c r="C38" s="2" t="str">
        <f t="shared" si="2"/>
        <v>Т.М.</v>
      </c>
      <c r="D38" t="str">
        <f t="shared" si="3"/>
        <v xml:space="preserve">Скрипник </v>
      </c>
      <c r="J38" t="s">
        <v>1216</v>
      </c>
    </row>
    <row r="39" spans="1:10">
      <c r="A39" s="63" t="s">
        <v>919</v>
      </c>
      <c r="B39" t="s">
        <v>885</v>
      </c>
      <c r="C39" s="2" t="str">
        <f t="shared" si="2"/>
        <v>О.А.</v>
      </c>
      <c r="D39" t="str">
        <f t="shared" si="3"/>
        <v xml:space="preserve">Сущенко </v>
      </c>
      <c r="J39" t="str">
        <f>REPLACE(D39,SEARCH("ко",D39,1),2,"ка")</f>
        <v xml:space="preserve">Сущенка </v>
      </c>
    </row>
    <row r="40" spans="1:10">
      <c r="A40" s="63" t="s">
        <v>1019</v>
      </c>
      <c r="B40" t="s">
        <v>901</v>
      </c>
      <c r="C40" s="2" t="str">
        <f t="shared" si="2"/>
        <v>С.Т.</v>
      </c>
      <c r="D40" t="str">
        <f t="shared" si="3"/>
        <v xml:space="preserve">Тихолоз </v>
      </c>
      <c r="J40" t="str">
        <f>REPLACE(D40,SEARCH("з",D40,1),2,"за")</f>
        <v>Тихолоза</v>
      </c>
    </row>
    <row r="41" spans="1:10">
      <c r="A41" s="63" t="s">
        <v>1037</v>
      </c>
      <c r="B41" t="s">
        <v>890</v>
      </c>
      <c r="C41" s="2" t="str">
        <f t="shared" si="2"/>
        <v>С.В.</v>
      </c>
      <c r="D41" t="str">
        <f t="shared" si="3"/>
        <v xml:space="preserve">Тихоненко </v>
      </c>
      <c r="J41" t="str">
        <f>REPLACE(D41,SEARCH("ко",D41,1),2,"ка")</f>
        <v xml:space="preserve">Тихоненка </v>
      </c>
    </row>
    <row r="42" spans="1:10">
      <c r="A42" s="63" t="s">
        <v>927</v>
      </c>
      <c r="B42" t="s">
        <v>890</v>
      </c>
      <c r="C42" s="2" t="str">
        <f t="shared" si="2"/>
        <v>А.В.</v>
      </c>
      <c r="D42" t="str">
        <f t="shared" si="3"/>
        <v xml:space="preserve">Харченко </v>
      </c>
      <c r="J42" t="str">
        <f>REPLACE(D42,SEARCH("ко",D42,1),2,"ка")</f>
        <v xml:space="preserve">Харченка </v>
      </c>
    </row>
    <row r="43" spans="1:10">
      <c r="A43" s="63" t="s">
        <v>1198</v>
      </c>
      <c r="B43" t="s">
        <v>880</v>
      </c>
      <c r="C43" s="2" t="str">
        <f t="shared" si="2"/>
        <v>С.О.</v>
      </c>
      <c r="D43" t="str">
        <f t="shared" si="3"/>
        <v xml:space="preserve">Храновський </v>
      </c>
      <c r="J43" t="str">
        <f>REPLACE(D43,SEARCH("ий",D43,1),2,"ого")</f>
        <v xml:space="preserve">Храновського </v>
      </c>
    </row>
    <row r="44" spans="1:10">
      <c r="A44" s="63" t="s">
        <v>913</v>
      </c>
      <c r="B44" t="s">
        <v>896</v>
      </c>
      <c r="C44" s="2" t="str">
        <f t="shared" si="2"/>
        <v>Д.С</v>
      </c>
      <c r="D44" t="str">
        <f t="shared" si="3"/>
        <v xml:space="preserve">Чабан </v>
      </c>
      <c r="J44" t="str">
        <f>REPLACE(D44,SEARCH("н",D44,1),2,"на")</f>
        <v>Чабана</v>
      </c>
    </row>
    <row r="45" spans="1:10">
      <c r="A45" s="63" t="s">
        <v>916</v>
      </c>
      <c r="B45" t="s">
        <v>885</v>
      </c>
      <c r="C45" s="2" t="str">
        <f t="shared" si="2"/>
        <v>В.І.</v>
      </c>
      <c r="D45" t="str">
        <f t="shared" si="3"/>
        <v xml:space="preserve">Шевченко </v>
      </c>
      <c r="J45" t="str">
        <f>REPLACE(D45,SEARCH("ко",D45,1),2,"ка")</f>
        <v xml:space="preserve">Шевченка </v>
      </c>
    </row>
    <row r="46" spans="1:10">
      <c r="A46" s="63" t="s">
        <v>925</v>
      </c>
      <c r="B46" t="s">
        <v>906</v>
      </c>
      <c r="C46" s="2" t="str">
        <f t="shared" si="2"/>
        <v>В.М.</v>
      </c>
      <c r="D46" t="str">
        <f t="shared" si="3"/>
        <v xml:space="preserve">Шквиря </v>
      </c>
      <c r="J46" t="str">
        <f>REPLACE(D46,SEARCH("ря",D46,1),2,"рі")</f>
        <v xml:space="preserve">Шквирі </v>
      </c>
    </row>
    <row r="47" spans="1:10">
      <c r="A47" s="63" t="s">
        <v>1007</v>
      </c>
      <c r="B47" t="s">
        <v>880</v>
      </c>
      <c r="C47" s="2" t="str">
        <f t="shared" si="2"/>
        <v>Д.В.</v>
      </c>
      <c r="D47" t="str">
        <f t="shared" si="3"/>
        <v xml:space="preserve">Штанько </v>
      </c>
      <c r="J47" t="str">
        <f>REPLACE(D47,SEARCH("ко",D47,1),2,"ка")</f>
        <v xml:space="preserve">Штанька </v>
      </c>
    </row>
    <row r="48" spans="1:10">
      <c r="A48" s="63" t="s">
        <v>1023</v>
      </c>
      <c r="B48" t="s">
        <v>901</v>
      </c>
      <c r="C48" s="2" t="str">
        <f t="shared" si="2"/>
        <v>В.Б.</v>
      </c>
      <c r="D48" t="str">
        <f t="shared" si="3"/>
        <v xml:space="preserve">Юрченко </v>
      </c>
      <c r="J48" t="str">
        <f>REPLACE(D48,SEARCH("ко",D48,1),2,"ка")</f>
        <v xml:space="preserve">Юрченка </v>
      </c>
    </row>
    <row r="49" spans="1:10">
      <c r="A49" s="63" t="s">
        <v>929</v>
      </c>
      <c r="B49" t="s">
        <v>901</v>
      </c>
      <c r="C49" s="2" t="str">
        <f t="shared" si="2"/>
        <v>С.М.</v>
      </c>
      <c r="D49" t="str">
        <f t="shared" si="3"/>
        <v xml:space="preserve">Юрченко </v>
      </c>
      <c r="J49" t="str">
        <f>REPLACE(D49,SEARCH("ко",D49,1),2,"ка")</f>
        <v xml:space="preserve">Юрченка </v>
      </c>
    </row>
    <row r="50" spans="1:10">
      <c r="A50" s="63" t="s">
        <v>926</v>
      </c>
      <c r="B50" t="s">
        <v>885</v>
      </c>
      <c r="C50" s="2" t="str">
        <f t="shared" si="2"/>
        <v>В.О.</v>
      </c>
      <c r="D50" t="str">
        <f t="shared" si="3"/>
        <v xml:space="preserve">Яциник </v>
      </c>
      <c r="J50" t="str">
        <f>REPLACE(D50,SEARCH("ик",D50,1),2,"ка")</f>
        <v xml:space="preserve">Яцинка </v>
      </c>
    </row>
    <row r="60" spans="1:10">
      <c r="A60" s="83"/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0"/>
  <sheetViews>
    <sheetView workbookViewId="0">
      <selection activeCell="L19" sqref="L19"/>
    </sheetView>
  </sheetViews>
  <sheetFormatPr defaultRowHeight="15"/>
  <cols>
    <col min="2" max="2" width="26.28515625" customWidth="1"/>
    <col min="3" max="3" width="12.85546875" customWidth="1"/>
    <col min="4" max="4" width="21.28515625" customWidth="1"/>
    <col min="5" max="5" width="9.42578125" customWidth="1"/>
  </cols>
  <sheetData>
    <row r="1" spans="1:5">
      <c r="A1" t="s">
        <v>395</v>
      </c>
      <c r="B1" t="s">
        <v>392</v>
      </c>
      <c r="C1" t="s">
        <v>393</v>
      </c>
      <c r="D1" t="s">
        <v>394</v>
      </c>
      <c r="E1" t="s">
        <v>396</v>
      </c>
    </row>
    <row r="2" spans="1:5">
      <c r="A2" s="452">
        <v>1</v>
      </c>
      <c r="B2" t="s">
        <v>373</v>
      </c>
      <c r="C2" t="s">
        <v>374</v>
      </c>
      <c r="D2" t="s">
        <v>375</v>
      </c>
    </row>
    <row r="3" spans="1:5">
      <c r="A3" s="452">
        <v>2</v>
      </c>
      <c r="B3" t="s">
        <v>377</v>
      </c>
      <c r="C3" t="s">
        <v>374</v>
      </c>
      <c r="D3" t="s">
        <v>376</v>
      </c>
    </row>
    <row r="4" spans="1:5">
      <c r="A4" s="452">
        <v>3</v>
      </c>
      <c r="B4" t="s">
        <v>391</v>
      </c>
      <c r="C4" t="s">
        <v>374</v>
      </c>
      <c r="D4" t="s">
        <v>390</v>
      </c>
    </row>
    <row r="5" spans="1:5">
      <c r="A5" s="452">
        <v>4</v>
      </c>
      <c r="B5" t="s">
        <v>814</v>
      </c>
      <c r="C5" t="s">
        <v>374</v>
      </c>
      <c r="D5" t="s">
        <v>815</v>
      </c>
    </row>
    <row r="6" spans="1:5">
      <c r="A6" s="452">
        <v>5</v>
      </c>
      <c r="B6" t="s">
        <v>1631</v>
      </c>
      <c r="C6" t="s">
        <v>1288</v>
      </c>
      <c r="D6" t="s">
        <v>1288</v>
      </c>
    </row>
    <row r="40" ht="15.75" customHeight="1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111</vt:i4>
      </vt:variant>
    </vt:vector>
  </HeadingPairs>
  <TitlesOfParts>
    <vt:vector size="142" baseType="lpstr">
      <vt:lpstr>РГК_кошторис (2)</vt:lpstr>
      <vt:lpstr>Молодняки_кошторис</vt:lpstr>
      <vt:lpstr>РД_кошторис</vt:lpstr>
      <vt:lpstr>РГК_кошторис</vt:lpstr>
      <vt:lpstr>Техкарта</vt:lpstr>
      <vt:lpstr>План заготівлі інши</vt:lpstr>
      <vt:lpstr>Таблица Щоденник</vt:lpstr>
      <vt:lpstr>Расчет</vt:lpstr>
      <vt:lpstr>План заготівлі РГК</vt:lpstr>
      <vt:lpstr>ЛистМеню</vt:lpstr>
      <vt:lpstr>Месяца</vt:lpstr>
      <vt:lpstr>Реестр_Договора</vt:lpstr>
      <vt:lpstr>ДЛГ</vt:lpstr>
      <vt:lpstr>Шаблон</vt:lpstr>
      <vt:lpstr>Рубки</vt:lpstr>
      <vt:lpstr>Приймання</vt:lpstr>
      <vt:lpstr>Лісництва</vt:lpstr>
      <vt:lpstr>Печать</vt:lpstr>
      <vt:lpstr>Таблица Форма</vt:lpstr>
      <vt:lpstr>Справочники</vt:lpstr>
      <vt:lpstr>Привязки</vt:lpstr>
      <vt:lpstr>Техкарты</vt:lpstr>
      <vt:lpstr>Виконавец</vt:lpstr>
      <vt:lpstr>Форма</vt:lpstr>
      <vt:lpstr>ВиконавецФорма</vt:lpstr>
      <vt:lpstr>Таблица Кошторис</vt:lpstr>
      <vt:lpstr>Таблица Кошторис хл</vt:lpstr>
      <vt:lpstr>Протокол</vt:lpstr>
      <vt:lpstr>Мастера</vt:lpstr>
      <vt:lpstr>ПадежиМайстер</vt:lpstr>
      <vt:lpstr>Импорт</vt:lpstr>
      <vt:lpstr>dРД_кошторис</vt:lpstr>
      <vt:lpstr>fDot</vt:lpstr>
      <vt:lpstr>fmЗнач2</vt:lpstr>
      <vt:lpstr>fmЗнач3</vt:lpstr>
      <vt:lpstr>fmЗнач5</vt:lpstr>
      <vt:lpstr>fmЗнач6</vt:lpstr>
      <vt:lpstr>fmЗнач8</vt:lpstr>
      <vt:lpstr>fmЗнач9</vt:lpstr>
      <vt:lpstr>f№Акт</vt:lpstr>
      <vt:lpstr>f№АктДата</vt:lpstr>
      <vt:lpstr>f№ДП</vt:lpstr>
      <vt:lpstr>f№ДПДата</vt:lpstr>
      <vt:lpstr>f№ЛК</vt:lpstr>
      <vt:lpstr>f№ЛКДата</vt:lpstr>
      <vt:lpstr>f№ЛКДатаЗак</vt:lpstr>
      <vt:lpstr>fSokrLis</vt:lpstr>
      <vt:lpstr>fВидел</vt:lpstr>
      <vt:lpstr>fВидРубки</vt:lpstr>
      <vt:lpstr>fВидШаблона</vt:lpstr>
      <vt:lpstr>fВиконавець_КерПІБ</vt:lpstr>
      <vt:lpstr>fВиконавець_КерПосада</vt:lpstr>
      <vt:lpstr>fВиконавець_ПІД_ВідВиконавця</vt:lpstr>
      <vt:lpstr>fВитрати_сорт_ручне</vt:lpstr>
      <vt:lpstr>fВитрати_хлисти_мех</vt:lpstr>
      <vt:lpstr>fВсього</vt:lpstr>
      <vt:lpstr>fВсього__ліквідної_деревини</vt:lpstr>
      <vt:lpstr>fВсьогоДоговір</vt:lpstr>
      <vt:lpstr>fВсьогоДоговір_Вибір</vt:lpstr>
      <vt:lpstr>fВсьогоДоговір_хл</vt:lpstr>
      <vt:lpstr>fВсьогоДоговір_хл_Вибір</vt:lpstr>
      <vt:lpstr>fВсьогоДоговірПРП</vt:lpstr>
      <vt:lpstr>fВсьогоДоговірПРП_хл</vt:lpstr>
      <vt:lpstr>fДата_ПР</vt:lpstr>
      <vt:lpstr>fДілової</vt:lpstr>
      <vt:lpstr>fДілової_Вибір</vt:lpstr>
      <vt:lpstr>fДілянка</vt:lpstr>
      <vt:lpstr>fДЛГ</vt:lpstr>
      <vt:lpstr>fДровяної</vt:lpstr>
      <vt:lpstr>fДровяної_Вибір</vt:lpstr>
      <vt:lpstr>fКвартал</vt:lpstr>
      <vt:lpstr>fКілДерев</vt:lpstr>
      <vt:lpstr>fКод</vt:lpstr>
      <vt:lpstr>fЛіквід</vt:lpstr>
      <vt:lpstr>fЛіквід_Вибір</vt:lpstr>
      <vt:lpstr>fЛісництвА</vt:lpstr>
      <vt:lpstr>fЛісництво</vt:lpstr>
      <vt:lpstr>fЛісничий</vt:lpstr>
      <vt:lpstr>fЛісничОГО</vt:lpstr>
      <vt:lpstr>fМастер</vt:lpstr>
      <vt:lpstr>fМастер_Вибір</vt:lpstr>
      <vt:lpstr>fмісяць_ПР</vt:lpstr>
      <vt:lpstr>fНелеквід</vt:lpstr>
      <vt:lpstr>fОбьемПР</vt:lpstr>
      <vt:lpstr>fОсобіВідВиконавця</vt:lpstr>
      <vt:lpstr>fПДВ</vt:lpstr>
      <vt:lpstr>fПДВ_Договір_хл</vt:lpstr>
      <vt:lpstr>fПДВДоговір</vt:lpstr>
      <vt:lpstr>fПДВДоговірПРП</vt:lpstr>
      <vt:lpstr>fПДВДоговірПРП_хл</vt:lpstr>
      <vt:lpstr>fПДВпр</vt:lpstr>
      <vt:lpstr>fПлощаВиконання</vt:lpstr>
      <vt:lpstr>fПлощадь</vt:lpstr>
      <vt:lpstr>fПолнаяДіл</vt:lpstr>
      <vt:lpstr>fПочатокРобіт</vt:lpstr>
      <vt:lpstr>fРазомПоЛК</vt:lpstr>
      <vt:lpstr>fрік_ПР</vt:lpstr>
      <vt:lpstr>fРозрядВисот</vt:lpstr>
      <vt:lpstr>fРозцінка</vt:lpstr>
      <vt:lpstr>fРозцінка_хл</vt:lpstr>
      <vt:lpstr>fСерОбХл</vt:lpstr>
      <vt:lpstr>fСокр_Виконавець</vt:lpstr>
      <vt:lpstr>fСокр_Виконавець_Вибір</vt:lpstr>
      <vt:lpstr>fСокр_Виконавець_Повне</vt:lpstr>
      <vt:lpstr>fСпосіб_рубання_молодняк</vt:lpstr>
      <vt:lpstr>fСума</vt:lpstr>
      <vt:lpstr>fСума_Договір_хл</vt:lpstr>
      <vt:lpstr>fСумаДоговір</vt:lpstr>
      <vt:lpstr>fСумаДоговірЗПДВ</vt:lpstr>
      <vt:lpstr>fСумаДоговірЗПДВ_хл</vt:lpstr>
      <vt:lpstr>fСумаДоговірПРП</vt:lpstr>
      <vt:lpstr>fСумаДоговірПРП_хл</vt:lpstr>
      <vt:lpstr>fТабл</vt:lpstr>
      <vt:lpstr>fУмовиЗберігання</vt:lpstr>
      <vt:lpstr>fУмовиРоботи</vt:lpstr>
      <vt:lpstr>fХмизу</vt:lpstr>
      <vt:lpstr>fХмизу_Вибір</vt:lpstr>
      <vt:lpstr>'РГК_кошторис (2)'!gРГК_кошторис</vt:lpstr>
      <vt:lpstr>gРГК_кошторис</vt:lpstr>
      <vt:lpstr>gРГК_протокол</vt:lpstr>
      <vt:lpstr>gРГК_ТЗ</vt:lpstr>
      <vt:lpstr>mМолодняки_кошторис</vt:lpstr>
      <vt:lpstr>nМесяца</vt:lpstr>
      <vt:lpstr>Знач1</vt:lpstr>
      <vt:lpstr>Знач10</vt:lpstr>
      <vt:lpstr>Знач11</vt:lpstr>
      <vt:lpstr>Знач12</vt:lpstr>
      <vt:lpstr>Знач2</vt:lpstr>
      <vt:lpstr>Знач3</vt:lpstr>
      <vt:lpstr>Знач4</vt:lpstr>
      <vt:lpstr>Знач5</vt:lpstr>
      <vt:lpstr>Знач6</vt:lpstr>
      <vt:lpstr>Знач7</vt:lpstr>
      <vt:lpstr>Знач8</vt:lpstr>
      <vt:lpstr>Знач9</vt:lpstr>
      <vt:lpstr>ЛистМеню!ЛистМеню</vt:lpstr>
      <vt:lpstr>Расширение_Техкарта</vt:lpstr>
      <vt:lpstr>сокрЛісВа</vt:lpstr>
      <vt:lpstr>Столбчик</vt:lpstr>
      <vt:lpstr>Сума_Договір</vt:lpstr>
      <vt:lpstr>Техкарта</vt:lpstr>
      <vt:lpstr>ТЕХНІЧНЕ_ЗАВДАННЯ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Пользователь</cp:lastModifiedBy>
  <cp:lastPrinted>2018-01-25T08:52:18Z</cp:lastPrinted>
  <dcterms:created xsi:type="dcterms:W3CDTF">2013-11-28T15:22:20Z</dcterms:created>
  <dcterms:modified xsi:type="dcterms:W3CDTF">2018-12-22T14:44:19Z</dcterms:modified>
</cp:coreProperties>
</file>