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 activeTab="4"/>
  </bookViews>
  <sheets>
    <sheet name="РГК" sheetId="2" r:id="rId1"/>
    <sheet name="РГК_кошторис" sheetId="6" r:id="rId2"/>
    <sheet name="РД" sheetId="3" r:id="rId3"/>
    <sheet name="РД_кошторис" sheetId="8" r:id="rId4"/>
    <sheet name="Молодняки механізовані" sheetId="5" r:id="rId5"/>
    <sheet name="Молодняки механізовані-кошторис" sheetId="9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cVukPDV">[1]Константы!$B$97</definedName>
    <definedName name="dK_Vukon">РД!#REF!</definedName>
    <definedName name="dKd">РД!#REF!</definedName>
    <definedName name="dLisVo">РД!#REF!</definedName>
    <definedName name="dMas">РД!#REF!</definedName>
    <definedName name="dNel">РД!#REF!</definedName>
    <definedName name="dPl">РД!#REF!</definedName>
    <definedName name="dSumDog">[2]РД!$O$71</definedName>
    <definedName name="dVukon">РД!#REF!</definedName>
    <definedName name="dVutrKbm">РД!#REF!</definedName>
    <definedName name="mCZ">'Молодняки механізовані'!#REF!</definedName>
    <definedName name="mK_Skladanny">'Молодняки механізовані'!#REF!</definedName>
    <definedName name="mK_Vukon">'Молодняки механізовані'!#REF!</definedName>
    <definedName name="mLisVo">'Молодняки механізовані'!#REF!</definedName>
    <definedName name="mMas">'Молодняки механізовані'!#REF!</definedName>
    <definedName name="mPl">'Молодняки механізовані'!#REF!</definedName>
    <definedName name="mSumDog">[3]Молодняк!$W$67</definedName>
    <definedName name="mVukon">'Молодняки механізовані'!#REF!</definedName>
    <definedName name="mZZ">'Молодняки механізовані'!#REF!</definedName>
    <definedName name="ВідРубки">OFFSET('[1]Назва Рубки'!$A$2,0,0,COUNTA('[1]Назва Рубки'!$A$2:$A$65535),1)</definedName>
    <definedName name="ВідШаблона">'[4]Назва Рубки'!$B$2:$B$4</definedName>
    <definedName name="Зона">[4]Коєфициент!$F$2:$F$6</definedName>
    <definedName name="ЛісВа">OFFSET([4]Лісництва!$B$2,0,0,COUNTA([4]Лісництва!$B$2:$B$65535),1)</definedName>
    <definedName name="Порода" localSheetId="2">[1]Порода!$A$2:$A$8</definedName>
    <definedName name="сокрЛісВа" localSheetId="2">[1]Лісництва!$B$2:$D$7</definedName>
    <definedName name="табКоефРоз">[4]Коєфициент!$C$2:$C$16</definedName>
    <definedName name="табКоефЧерн">[4]Коєфициент!$F$2:$G$6</definedName>
    <definedName name="табНормаВироб">[4]Коєфициент!$B$2:$B$16</definedName>
    <definedName name="табРозВисот">[4]Коєфициент!$A$2:$A$16</definedName>
    <definedName name="табУмовиРоботи">[4]Константы!$B$5:$C$5</definedName>
    <definedName name="умДатаТарифы">[1]Константы!$B$6</definedName>
  </definedName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5" l="1"/>
  <c r="N20" i="5"/>
  <c r="O20" i="5"/>
  <c r="M21" i="5"/>
  <c r="N21" i="5" s="1"/>
  <c r="O21" i="5"/>
  <c r="M22" i="5"/>
  <c r="N22" i="5"/>
  <c r="O22" i="5"/>
  <c r="M23" i="5"/>
  <c r="N23" i="5" s="1"/>
  <c r="O23" i="5"/>
  <c r="M24" i="5"/>
  <c r="N24" i="5"/>
  <c r="O24" i="5"/>
  <c r="M25" i="5"/>
  <c r="N25" i="5" s="1"/>
  <c r="O25" i="5"/>
  <c r="M26" i="5"/>
  <c r="N26" i="5"/>
  <c r="O26" i="5"/>
  <c r="M27" i="5"/>
  <c r="N27" i="5" s="1"/>
  <c r="O27" i="5"/>
  <c r="M28" i="5"/>
  <c r="N28" i="5"/>
  <c r="O28" i="5"/>
  <c r="M29" i="5"/>
  <c r="N29" i="5" s="1"/>
  <c r="O29" i="5"/>
  <c r="M30" i="5"/>
  <c r="N30" i="5"/>
  <c r="O30" i="5"/>
  <c r="N19" i="5"/>
  <c r="M19" i="5"/>
  <c r="O19" i="5" s="1"/>
  <c r="M39" i="3"/>
  <c r="L39" i="3"/>
  <c r="N39" i="3" s="1"/>
  <c r="L38" i="3"/>
  <c r="M38" i="3" s="1"/>
  <c r="M37" i="3"/>
  <c r="L37" i="3"/>
  <c r="N37" i="3" s="1"/>
  <c r="L36" i="3"/>
  <c r="M36" i="3" s="1"/>
  <c r="M35" i="3"/>
  <c r="L35" i="3"/>
  <c r="N35" i="3" s="1"/>
  <c r="L34" i="3"/>
  <c r="M34" i="3" s="1"/>
  <c r="M33" i="3"/>
  <c r="L33" i="3"/>
  <c r="N33" i="3" s="1"/>
  <c r="L32" i="3"/>
  <c r="M32" i="3" s="1"/>
  <c r="M31" i="3"/>
  <c r="L31" i="3"/>
  <c r="N31" i="3" s="1"/>
  <c r="L30" i="3"/>
  <c r="M30" i="3" s="1"/>
  <c r="M29" i="3"/>
  <c r="L29" i="3"/>
  <c r="N29" i="3" s="1"/>
  <c r="L28" i="3"/>
  <c r="M28" i="3" s="1"/>
  <c r="M26" i="3"/>
  <c r="L26" i="3"/>
  <c r="N26" i="3" s="1"/>
  <c r="L25" i="3"/>
  <c r="M25" i="3" s="1"/>
  <c r="M24" i="3"/>
  <c r="L24" i="3"/>
  <c r="N24" i="3" s="1"/>
  <c r="M22" i="3"/>
  <c r="L22" i="3"/>
  <c r="N22" i="3" s="1"/>
  <c r="L21" i="3"/>
  <c r="M21" i="3" s="1"/>
  <c r="L20" i="3"/>
  <c r="N20" i="3" s="1"/>
  <c r="N45" i="2"/>
  <c r="M45" i="2"/>
  <c r="N44" i="2"/>
  <c r="M44" i="2"/>
  <c r="N43" i="2"/>
  <c r="M43" i="2"/>
  <c r="N42" i="2"/>
  <c r="M42" i="2"/>
  <c r="N41" i="2"/>
  <c r="M41" i="2"/>
  <c r="M38" i="2"/>
  <c r="N28" i="2"/>
  <c r="M28" i="2"/>
  <c r="N27" i="2"/>
  <c r="M27" i="2"/>
  <c r="N26" i="2"/>
  <c r="M26" i="2"/>
  <c r="N24" i="2"/>
  <c r="M24" i="2"/>
  <c r="N23" i="2"/>
  <c r="M23" i="2"/>
  <c r="N22" i="2"/>
  <c r="M22" i="2"/>
  <c r="N19" i="2"/>
  <c r="M19" i="2"/>
  <c r="L45" i="2"/>
  <c r="L44" i="2"/>
  <c r="L43" i="2"/>
  <c r="L42" i="2"/>
  <c r="L41" i="2"/>
  <c r="L40" i="2"/>
  <c r="N40" i="2" s="1"/>
  <c r="L39" i="2"/>
  <c r="N39" i="2" s="1"/>
  <c r="L38" i="2"/>
  <c r="N38" i="2" s="1"/>
  <c r="L37" i="2"/>
  <c r="N37" i="2" s="1"/>
  <c r="L36" i="2"/>
  <c r="N36" i="2" s="1"/>
  <c r="L35" i="2"/>
  <c r="N35" i="2" s="1"/>
  <c r="L34" i="2"/>
  <c r="N34" i="2" s="1"/>
  <c r="L28" i="2"/>
  <c r="L27" i="2"/>
  <c r="L26" i="2"/>
  <c r="L24" i="2"/>
  <c r="L23" i="2"/>
  <c r="L22" i="2"/>
  <c r="L19" i="2"/>
  <c r="L18" i="2"/>
  <c r="M18" i="2" s="1"/>
  <c r="L20" i="2"/>
  <c r="N20" i="2" s="1"/>
  <c r="M20" i="3" l="1"/>
  <c r="N28" i="3"/>
  <c r="N30" i="3"/>
  <c r="N32" i="3"/>
  <c r="N34" i="3"/>
  <c r="N36" i="3"/>
  <c r="N38" i="3"/>
  <c r="N25" i="3"/>
  <c r="N21" i="3"/>
  <c r="M39" i="2"/>
  <c r="M40" i="2"/>
  <c r="M37" i="2"/>
  <c r="M36" i="2"/>
  <c r="M35" i="2"/>
  <c r="M34" i="2"/>
  <c r="N18" i="2"/>
  <c r="M20" i="2"/>
  <c r="I7" i="9" l="1"/>
  <c r="I32" i="9"/>
  <c r="C32" i="9"/>
  <c r="C31" i="9"/>
  <c r="N52" i="3"/>
  <c r="N54" i="3" s="1"/>
  <c r="M52" i="3"/>
  <c r="M54" i="3" s="1"/>
  <c r="L52" i="3"/>
  <c r="L54" i="3" s="1"/>
  <c r="R54" i="3" s="1"/>
  <c r="R55" i="3" s="1"/>
  <c r="L58" i="2"/>
  <c r="L60" i="2" s="1"/>
  <c r="D64" i="2"/>
  <c r="I24" i="9"/>
  <c r="H24" i="9"/>
  <c r="D17" i="9"/>
  <c r="N13" i="8"/>
  <c r="N11" i="8"/>
  <c r="N10" i="8"/>
  <c r="N9" i="8"/>
  <c r="N8" i="8"/>
  <c r="N7" i="8"/>
  <c r="N6" i="8"/>
  <c r="N12" i="8" s="1"/>
  <c r="I11" i="8"/>
  <c r="I48" i="8" s="1"/>
  <c r="I10" i="8"/>
  <c r="I47" i="8" s="1"/>
  <c r="I9" i="8"/>
  <c r="I8" i="8"/>
  <c r="I45" i="8" s="1"/>
  <c r="I7" i="8"/>
  <c r="I44" i="8" s="1"/>
  <c r="I6" i="8"/>
  <c r="G29" i="8" s="1"/>
  <c r="H36" i="8"/>
  <c r="I33" i="8"/>
  <c r="I34" i="8" s="1"/>
  <c r="I36" i="8" s="1"/>
  <c r="H33" i="8"/>
  <c r="D25" i="8"/>
  <c r="I46" i="8"/>
  <c r="M7" i="8"/>
  <c r="J7" i="8" s="1"/>
  <c r="I39" i="6"/>
  <c r="I40" i="6" s="1"/>
  <c r="H39" i="6"/>
  <c r="D30" i="6"/>
  <c r="N18" i="6"/>
  <c r="N6" i="6"/>
  <c r="N16" i="6"/>
  <c r="N15" i="6"/>
  <c r="N14" i="6"/>
  <c r="N13" i="6"/>
  <c r="N12" i="6"/>
  <c r="N11" i="6"/>
  <c r="N9" i="6"/>
  <c r="M58" i="2" l="1"/>
  <c r="M60" i="2" s="1"/>
  <c r="N58" i="2"/>
  <c r="N60" i="2" s="1"/>
  <c r="N31" i="5"/>
  <c r="N33" i="5" s="1"/>
  <c r="M31" i="5"/>
  <c r="M33" i="5" s="1"/>
  <c r="O31" i="5"/>
  <c r="O33" i="5" s="1"/>
  <c r="M6" i="8"/>
  <c r="J6" i="8" s="1"/>
  <c r="M8" i="8"/>
  <c r="J8" i="8" s="1"/>
  <c r="K8" i="8" s="1"/>
  <c r="I43" i="8"/>
  <c r="M9" i="8"/>
  <c r="J9" i="8" s="1"/>
  <c r="M11" i="8"/>
  <c r="M10" i="8"/>
  <c r="J10" i="8" s="1"/>
  <c r="K10" i="8" s="1"/>
  <c r="K7" i="8"/>
  <c r="K9" i="8"/>
  <c r="K11" i="8"/>
  <c r="K6" i="8"/>
  <c r="I42" i="6"/>
  <c r="H42" i="6"/>
  <c r="R60" i="2" l="1"/>
  <c r="R61" i="2" s="1"/>
  <c r="P33" i="5"/>
  <c r="K12" i="8"/>
  <c r="K14" i="8" l="1"/>
  <c r="I29" i="8" s="1"/>
  <c r="H29" i="8" s="1"/>
  <c r="J12" i="8"/>
  <c r="H32" i="8" l="1"/>
  <c r="I32" i="8"/>
  <c r="I15" i="6" l="1"/>
  <c r="I14" i="6"/>
  <c r="I13" i="6"/>
  <c r="I12" i="6"/>
  <c r="I11" i="6"/>
  <c r="I9" i="6"/>
  <c r="I7" i="6"/>
  <c r="I6" i="6"/>
  <c r="I49" i="6" l="1"/>
  <c r="M6" i="6"/>
  <c r="J6" i="6" s="1"/>
  <c r="K6" i="6" s="1"/>
  <c r="I52" i="6"/>
  <c r="M9" i="6"/>
  <c r="J9" i="6" s="1"/>
  <c r="K9" i="6" s="1"/>
  <c r="I55" i="6"/>
  <c r="K12" i="6"/>
  <c r="M12" i="6"/>
  <c r="J12" i="6" s="1"/>
  <c r="I57" i="6"/>
  <c r="M14" i="6"/>
  <c r="J14" i="6" s="1"/>
  <c r="K14" i="6" s="1"/>
  <c r="I50" i="6"/>
  <c r="I54" i="6"/>
  <c r="G34" i="6"/>
  <c r="M11" i="6"/>
  <c r="J11" i="6" s="1"/>
  <c r="K11" i="6" s="1"/>
  <c r="I56" i="6"/>
  <c r="M13" i="6"/>
  <c r="J13" i="6" s="1"/>
  <c r="K13" i="6" s="1"/>
  <c r="I58" i="6"/>
  <c r="M15" i="6"/>
  <c r="J15" i="6" s="1"/>
  <c r="K15" i="6" s="1"/>
  <c r="C49" i="3"/>
  <c r="F51" i="3"/>
  <c r="F50" i="3"/>
  <c r="J50" i="3" s="1"/>
  <c r="O50" i="3" s="1"/>
  <c r="F49" i="3"/>
  <c r="H51" i="3"/>
  <c r="G51" i="3"/>
  <c r="J51" i="3"/>
  <c r="O51" i="3" s="1"/>
  <c r="G50" i="3"/>
  <c r="H50" i="3" s="1"/>
  <c r="G49" i="3"/>
  <c r="H49" i="3" s="1"/>
  <c r="C55" i="2"/>
  <c r="G56" i="2"/>
  <c r="H56" i="2" s="1"/>
  <c r="J56" i="2"/>
  <c r="G57" i="2"/>
  <c r="H57" i="2" s="1"/>
  <c r="J57" i="2"/>
  <c r="J49" i="3" l="1"/>
  <c r="O49" i="3" s="1"/>
  <c r="P50" i="3"/>
  <c r="P49" i="3"/>
  <c r="Q49" i="3" s="1"/>
  <c r="R49" i="3" s="1"/>
  <c r="P51" i="3"/>
  <c r="O57" i="2"/>
  <c r="O56" i="2"/>
  <c r="Q51" i="3" l="1"/>
  <c r="R51" i="3" s="1"/>
  <c r="Q50" i="3"/>
  <c r="R50" i="3" s="1"/>
  <c r="P56" i="2"/>
  <c r="Q56" i="2" s="1"/>
  <c r="P57" i="2"/>
  <c r="Q57" i="2" s="1"/>
  <c r="R57" i="2" l="1"/>
  <c r="R56" i="2"/>
  <c r="G55" i="2" l="1"/>
  <c r="F53" i="2"/>
  <c r="G53" i="2"/>
  <c r="H53" i="2" s="1"/>
  <c r="F58" i="2"/>
  <c r="H55" i="2" l="1"/>
  <c r="J55" i="2"/>
  <c r="J53" i="2"/>
  <c r="O53" i="2" s="1"/>
  <c r="O55" i="2"/>
  <c r="P53" i="2"/>
  <c r="Q53" i="2" s="1"/>
  <c r="R53" i="2" l="1"/>
  <c r="P55" i="2"/>
  <c r="F51" i="2"/>
  <c r="F52" i="2"/>
  <c r="I16" i="6" l="1"/>
  <c r="Q55" i="2"/>
  <c r="B64" i="2"/>
  <c r="B66" i="2" s="1"/>
  <c r="I59" i="6" l="1"/>
  <c r="M16" i="6"/>
  <c r="J16" i="6" s="1"/>
  <c r="K16" i="6" s="1"/>
  <c r="R55" i="2"/>
  <c r="F47" i="3"/>
  <c r="F46" i="3"/>
  <c r="F45" i="3"/>
  <c r="C20" i="3" l="1"/>
  <c r="H6" i="5" l="1"/>
  <c r="F17" i="5"/>
  <c r="G37" i="5" l="1"/>
  <c r="H37" i="5" s="1"/>
  <c r="G36" i="5"/>
  <c r="G35" i="5"/>
  <c r="G30" i="5"/>
  <c r="H30" i="5" s="1"/>
  <c r="I30" i="5" s="1"/>
  <c r="J30" i="5" s="1"/>
  <c r="E36" i="5"/>
  <c r="H36" i="5" s="1"/>
  <c r="E35" i="5"/>
  <c r="E39" i="5"/>
  <c r="E40" i="5" s="1"/>
  <c r="I6" i="9" s="1"/>
  <c r="G29" i="5"/>
  <c r="H29" i="5" s="1"/>
  <c r="I29" i="5" s="1"/>
  <c r="J29" i="5" s="1"/>
  <c r="G28" i="5"/>
  <c r="G27" i="5"/>
  <c r="H27" i="5" s="1"/>
  <c r="I27" i="5" s="1"/>
  <c r="J27" i="5" s="1"/>
  <c r="G26" i="5"/>
  <c r="G25" i="5"/>
  <c r="H25" i="5" s="1"/>
  <c r="I25" i="5" s="1"/>
  <c r="J25" i="5" s="1"/>
  <c r="G24" i="5"/>
  <c r="G23" i="5"/>
  <c r="H23" i="5" s="1"/>
  <c r="I23" i="5" s="1"/>
  <c r="J23" i="5" s="1"/>
  <c r="G22" i="5"/>
  <c r="G21" i="5"/>
  <c r="H21" i="5" s="1"/>
  <c r="I21" i="5" s="1"/>
  <c r="J21" i="5" s="1"/>
  <c r="G20" i="5"/>
  <c r="G19" i="5"/>
  <c r="H19" i="5" s="1"/>
  <c r="I19" i="5" s="1"/>
  <c r="G21" i="9" l="1"/>
  <c r="I31" i="9"/>
  <c r="J19" i="5"/>
  <c r="H35" i="5"/>
  <c r="I35" i="5"/>
  <c r="J35" i="5" s="1"/>
  <c r="I37" i="5"/>
  <c r="I36" i="5"/>
  <c r="J36" i="5" s="1"/>
  <c r="H28" i="5"/>
  <c r="I28" i="5" s="1"/>
  <c r="J28" i="5" s="1"/>
  <c r="H26" i="5"/>
  <c r="I26" i="5" s="1"/>
  <c r="J26" i="5" s="1"/>
  <c r="H24" i="5"/>
  <c r="I24" i="5" s="1"/>
  <c r="J24" i="5" s="1"/>
  <c r="H22" i="5"/>
  <c r="I22" i="5" s="1"/>
  <c r="J22" i="5" s="1"/>
  <c r="H20" i="5"/>
  <c r="I20" i="5" s="1"/>
  <c r="J20" i="5" s="1"/>
  <c r="J31" i="5" l="1"/>
  <c r="I31" i="5"/>
  <c r="N6" i="9" s="1"/>
  <c r="M6" i="9" s="1"/>
  <c r="J6" i="9" s="1"/>
  <c r="K6" i="9" s="1"/>
  <c r="J37" i="5"/>
  <c r="J38" i="5" s="1"/>
  <c r="J39" i="5" s="1"/>
  <c r="I38" i="5"/>
  <c r="K36" i="5"/>
  <c r="P36" i="5" s="1"/>
  <c r="I39" i="5" l="1"/>
  <c r="N7" i="9"/>
  <c r="K23" i="5"/>
  <c r="P23" i="5" s="1"/>
  <c r="K29" i="5"/>
  <c r="K26" i="5"/>
  <c r="P26" i="5" s="1"/>
  <c r="K19" i="5"/>
  <c r="K30" i="5"/>
  <c r="P30" i="5" s="1"/>
  <c r="K35" i="5"/>
  <c r="P35" i="5" s="1"/>
  <c r="K27" i="5"/>
  <c r="K20" i="5"/>
  <c r="P20" i="5" s="1"/>
  <c r="K24" i="5"/>
  <c r="K37" i="5"/>
  <c r="K38" i="5" s="1"/>
  <c r="N8" i="9" l="1"/>
  <c r="M7" i="9"/>
  <c r="J7" i="9" s="1"/>
  <c r="K7" i="9" s="1"/>
  <c r="K8" i="9" s="1"/>
  <c r="B43" i="5"/>
  <c r="N9" i="9"/>
  <c r="P24" i="5"/>
  <c r="P27" i="5"/>
  <c r="K28" i="5"/>
  <c r="P28" i="5" s="1"/>
  <c r="P19" i="5"/>
  <c r="K22" i="5"/>
  <c r="P22" i="5" s="1"/>
  <c r="P37" i="5"/>
  <c r="P38" i="5" s="1"/>
  <c r="K21" i="5"/>
  <c r="P21" i="5" s="1"/>
  <c r="K25" i="5"/>
  <c r="P25" i="5" s="1"/>
  <c r="P29" i="5"/>
  <c r="P31" i="5" l="1"/>
  <c r="P39" i="5" s="1"/>
  <c r="A43" i="5" s="1"/>
  <c r="E43" i="5" s="1"/>
  <c r="K31" i="5"/>
  <c r="K39" i="5" s="1"/>
  <c r="K10" i="9"/>
  <c r="I21" i="9" s="1"/>
  <c r="H21" i="9" s="1"/>
  <c r="J8" i="9"/>
  <c r="F43" i="3" l="1"/>
  <c r="F52" i="3"/>
  <c r="B58" i="3" s="1"/>
  <c r="I6" i="3"/>
  <c r="C45" i="3"/>
  <c r="C24" i="3"/>
  <c r="F42" i="3"/>
  <c r="F41" i="3"/>
  <c r="C41" i="3"/>
  <c r="C37" i="3"/>
  <c r="C34" i="3"/>
  <c r="C31" i="3"/>
  <c r="C28" i="3"/>
  <c r="G17" i="3"/>
  <c r="I5" i="3"/>
  <c r="I7" i="3" s="1"/>
  <c r="G25" i="3" l="1"/>
  <c r="H25" i="3" s="1"/>
  <c r="G46" i="3"/>
  <c r="G47" i="3"/>
  <c r="G45" i="3"/>
  <c r="G26" i="3"/>
  <c r="H26" i="3" s="1"/>
  <c r="G24" i="3"/>
  <c r="H24" i="3" s="1"/>
  <c r="J25" i="3"/>
  <c r="J24" i="3"/>
  <c r="G43" i="3"/>
  <c r="H43" i="3" s="1"/>
  <c r="G42" i="3"/>
  <c r="H42" i="3" s="1"/>
  <c r="G39" i="3"/>
  <c r="G38" i="3"/>
  <c r="G33" i="3"/>
  <c r="G32" i="3"/>
  <c r="G36" i="3"/>
  <c r="G35" i="3"/>
  <c r="G34" i="3"/>
  <c r="G30" i="3"/>
  <c r="G29" i="3"/>
  <c r="G28" i="3"/>
  <c r="G22" i="3"/>
  <c r="G21" i="3"/>
  <c r="G20" i="3"/>
  <c r="G41" i="3"/>
  <c r="H41" i="3" s="1"/>
  <c r="G31" i="3"/>
  <c r="G37" i="3"/>
  <c r="J43" i="3"/>
  <c r="O43" i="3" s="1"/>
  <c r="J41" i="3" l="1"/>
  <c r="O41" i="3" s="1"/>
  <c r="P41" i="3" s="1"/>
  <c r="J26" i="3"/>
  <c r="O26" i="3" s="1"/>
  <c r="J42" i="3"/>
  <c r="O42" i="3" s="1"/>
  <c r="P42" i="3" s="1"/>
  <c r="Q42" i="3" s="1"/>
  <c r="R42" i="3" s="1"/>
  <c r="H45" i="3"/>
  <c r="J45" i="3"/>
  <c r="O45" i="3" s="1"/>
  <c r="P45" i="3" s="1"/>
  <c r="I24" i="3"/>
  <c r="O24" i="3"/>
  <c r="I26" i="3"/>
  <c r="I25" i="3"/>
  <c r="O25" i="3"/>
  <c r="P43" i="3"/>
  <c r="Q43" i="3" s="1"/>
  <c r="R43" i="3" s="1"/>
  <c r="J31" i="3"/>
  <c r="H31" i="3"/>
  <c r="J20" i="3"/>
  <c r="H20" i="3"/>
  <c r="J22" i="3"/>
  <c r="H22" i="3"/>
  <c r="J29" i="3"/>
  <c r="H29" i="3"/>
  <c r="J34" i="3"/>
  <c r="H34" i="3"/>
  <c r="J36" i="3"/>
  <c r="H36" i="3"/>
  <c r="J33" i="3"/>
  <c r="H33" i="3"/>
  <c r="J39" i="3"/>
  <c r="H39" i="3"/>
  <c r="J37" i="3"/>
  <c r="H37" i="3"/>
  <c r="J21" i="3"/>
  <c r="H21" i="3"/>
  <c r="J28" i="3"/>
  <c r="H28" i="3"/>
  <c r="J30" i="3"/>
  <c r="H30" i="3"/>
  <c r="J35" i="3"/>
  <c r="H35" i="3"/>
  <c r="J32" i="3"/>
  <c r="H32" i="3"/>
  <c r="J38" i="3"/>
  <c r="H38" i="3"/>
  <c r="H47" i="3" l="1"/>
  <c r="J47" i="3"/>
  <c r="O47" i="3" s="1"/>
  <c r="H46" i="3"/>
  <c r="J46" i="3"/>
  <c r="O46" i="3" s="1"/>
  <c r="Q45" i="3"/>
  <c r="R45" i="3" s="1"/>
  <c r="P25" i="3"/>
  <c r="Q25" i="3" s="1"/>
  <c r="R25" i="3" s="1"/>
  <c r="P26" i="3"/>
  <c r="P24" i="3"/>
  <c r="Q24" i="3" s="1"/>
  <c r="O20" i="3"/>
  <c r="I20" i="3"/>
  <c r="O31" i="3"/>
  <c r="I31" i="3"/>
  <c r="O38" i="3"/>
  <c r="I38" i="3"/>
  <c r="O32" i="3"/>
  <c r="I32" i="3"/>
  <c r="O35" i="3"/>
  <c r="I35" i="3"/>
  <c r="O30" i="3"/>
  <c r="I30" i="3"/>
  <c r="O28" i="3"/>
  <c r="I28" i="3"/>
  <c r="O21" i="3"/>
  <c r="I21" i="3"/>
  <c r="O37" i="3"/>
  <c r="I37" i="3"/>
  <c r="O39" i="3"/>
  <c r="I39" i="3"/>
  <c r="O33" i="3"/>
  <c r="I33" i="3"/>
  <c r="O36" i="3"/>
  <c r="I36" i="3"/>
  <c r="O34" i="3"/>
  <c r="I34" i="3"/>
  <c r="O29" i="3"/>
  <c r="I29" i="3"/>
  <c r="O22" i="3"/>
  <c r="I22" i="3"/>
  <c r="Q41" i="3"/>
  <c r="R41" i="3" s="1"/>
  <c r="J52" i="3" l="1"/>
  <c r="O52" i="3"/>
  <c r="P46" i="3"/>
  <c r="P47" i="3"/>
  <c r="Q47" i="3" s="1"/>
  <c r="R47" i="3" s="1"/>
  <c r="R24" i="3"/>
  <c r="Q26" i="3"/>
  <c r="R26" i="3" s="1"/>
  <c r="P22" i="3"/>
  <c r="P29" i="3"/>
  <c r="Q29" i="3" s="1"/>
  <c r="R29" i="3" s="1"/>
  <c r="P34" i="3"/>
  <c r="P36" i="3"/>
  <c r="Q36" i="3" s="1"/>
  <c r="R36" i="3" s="1"/>
  <c r="P33" i="3"/>
  <c r="Q33" i="3" s="1"/>
  <c r="R33" i="3" s="1"/>
  <c r="P39" i="3"/>
  <c r="P37" i="3"/>
  <c r="Q37" i="3" s="1"/>
  <c r="R37" i="3" s="1"/>
  <c r="P21" i="3"/>
  <c r="Q21" i="3" s="1"/>
  <c r="R21" i="3" s="1"/>
  <c r="P28" i="3"/>
  <c r="P30" i="3"/>
  <c r="Q30" i="3" s="1"/>
  <c r="R30" i="3" s="1"/>
  <c r="P35" i="3"/>
  <c r="P32" i="3"/>
  <c r="P38" i="3"/>
  <c r="Q38" i="3" s="1"/>
  <c r="R38" i="3" s="1"/>
  <c r="P31" i="3"/>
  <c r="P20" i="3"/>
  <c r="Q20" i="3" s="1"/>
  <c r="I52" i="3"/>
  <c r="Q46" i="3" l="1"/>
  <c r="R46" i="3" s="1"/>
  <c r="R20" i="3"/>
  <c r="Q31" i="3"/>
  <c r="R31" i="3" s="1"/>
  <c r="Q32" i="3"/>
  <c r="R32" i="3" s="1"/>
  <c r="Q39" i="3"/>
  <c r="R39" i="3" s="1"/>
  <c r="Q22" i="3"/>
  <c r="R22" i="3" s="1"/>
  <c r="O55" i="3"/>
  <c r="F58" i="3" s="1"/>
  <c r="P52" i="3"/>
  <c r="P55" i="3" s="1"/>
  <c r="Q35" i="3"/>
  <c r="R35" i="3" s="1"/>
  <c r="Q28" i="3"/>
  <c r="R28" i="3" s="1"/>
  <c r="Q34" i="3"/>
  <c r="R34" i="3" s="1"/>
  <c r="Q52" i="3" l="1"/>
  <c r="Q55" i="3" s="1"/>
  <c r="R52" i="3"/>
  <c r="D58" i="3" l="1"/>
  <c r="H58" i="3" l="1"/>
  <c r="P60" i="2" l="1"/>
  <c r="P59" i="2"/>
  <c r="C47" i="2" l="1"/>
  <c r="C43" i="2"/>
  <c r="C40" i="2"/>
  <c r="C37" i="2" l="1"/>
  <c r="C34" i="2"/>
  <c r="C30" i="2"/>
  <c r="C26" i="2"/>
  <c r="C22" i="2"/>
  <c r="F20" i="2"/>
  <c r="I8" i="6" s="1"/>
  <c r="Q29" i="2"/>
  <c r="R29" i="2" s="1"/>
  <c r="I6" i="2"/>
  <c r="I5" i="2"/>
  <c r="G17" i="2"/>
  <c r="G52" i="2"/>
  <c r="H52" i="2" s="1"/>
  <c r="G51" i="2"/>
  <c r="H51" i="2" s="1"/>
  <c r="I51" i="6" l="1"/>
  <c r="G20" i="2"/>
  <c r="H20" i="2" s="1"/>
  <c r="G19" i="2"/>
  <c r="J19" i="2" s="1"/>
  <c r="J20" i="2"/>
  <c r="O20" i="2" s="1"/>
  <c r="G32" i="2"/>
  <c r="J32" i="2" s="1"/>
  <c r="I32" i="2" s="1"/>
  <c r="G31" i="2"/>
  <c r="J31" i="2" s="1"/>
  <c r="O31" i="2" s="1"/>
  <c r="P31" i="2" s="1"/>
  <c r="G26" i="2"/>
  <c r="I7" i="2"/>
  <c r="G30" i="2"/>
  <c r="J30" i="2" s="1"/>
  <c r="O30" i="2" s="1"/>
  <c r="I20" i="2"/>
  <c r="O32" i="2"/>
  <c r="P32" i="2" s="1"/>
  <c r="G18" i="2"/>
  <c r="G22" i="2"/>
  <c r="J51" i="2"/>
  <c r="O51" i="2" s="1"/>
  <c r="J52" i="2"/>
  <c r="O52" i="2" s="1"/>
  <c r="G28" i="2"/>
  <c r="G49" i="2"/>
  <c r="G47" i="2"/>
  <c r="G24" i="2"/>
  <c r="G23" i="2"/>
  <c r="G48" i="2"/>
  <c r="G45" i="2"/>
  <c r="G44" i="2"/>
  <c r="G43" i="2"/>
  <c r="G42" i="2"/>
  <c r="G41" i="2"/>
  <c r="G40" i="2"/>
  <c r="G39" i="2"/>
  <c r="G38" i="2"/>
  <c r="G37" i="2"/>
  <c r="G36" i="2"/>
  <c r="G35" i="2"/>
  <c r="G34" i="2"/>
  <c r="G27" i="2"/>
  <c r="N8" i="6" l="1"/>
  <c r="M8" i="6" s="1"/>
  <c r="J8" i="6" s="1"/>
  <c r="K8" i="6" s="1"/>
  <c r="P30" i="2"/>
  <c r="H31" i="2"/>
  <c r="I31" i="2"/>
  <c r="H32" i="2"/>
  <c r="H30" i="2"/>
  <c r="I30" i="2"/>
  <c r="H19" i="2"/>
  <c r="P52" i="2"/>
  <c r="Q52" i="2" s="1"/>
  <c r="R52" i="2" s="1"/>
  <c r="P20" i="2"/>
  <c r="Q20" i="2" s="1"/>
  <c r="R20" i="2" s="1"/>
  <c r="P51" i="2"/>
  <c r="Q51" i="2" s="1"/>
  <c r="R51" i="2" s="1"/>
  <c r="H18" i="2"/>
  <c r="J18" i="2"/>
  <c r="Q30" i="2"/>
  <c r="R30" i="2" s="1"/>
  <c r="J26" i="2"/>
  <c r="H26" i="2"/>
  <c r="J34" i="2"/>
  <c r="H34" i="2"/>
  <c r="J36" i="2"/>
  <c r="H36" i="2"/>
  <c r="J38" i="2"/>
  <c r="H38" i="2"/>
  <c r="J40" i="2"/>
  <c r="H40" i="2"/>
  <c r="J42" i="2"/>
  <c r="H42" i="2"/>
  <c r="J44" i="2"/>
  <c r="H44" i="2"/>
  <c r="H48" i="2"/>
  <c r="J48" i="2"/>
  <c r="O48" i="2" s="1"/>
  <c r="P48" i="2" s="1"/>
  <c r="J23" i="2"/>
  <c r="H23" i="2"/>
  <c r="H49" i="2"/>
  <c r="J49" i="2"/>
  <c r="O49" i="2" s="1"/>
  <c r="P49" i="2" s="1"/>
  <c r="O18" i="2"/>
  <c r="J27" i="2"/>
  <c r="H27" i="2"/>
  <c r="J35" i="2"/>
  <c r="H35" i="2"/>
  <c r="J37" i="2"/>
  <c r="H37" i="2"/>
  <c r="J39" i="2"/>
  <c r="H39" i="2"/>
  <c r="J41" i="2"/>
  <c r="H41" i="2"/>
  <c r="J43" i="2"/>
  <c r="H43" i="2"/>
  <c r="J45" i="2"/>
  <c r="H45" i="2"/>
  <c r="J22" i="2"/>
  <c r="H22" i="2"/>
  <c r="J24" i="2"/>
  <c r="H24" i="2"/>
  <c r="H47" i="2"/>
  <c r="J47" i="2"/>
  <c r="O47" i="2" s="1"/>
  <c r="J28" i="2"/>
  <c r="H28" i="2"/>
  <c r="P47" i="2" l="1"/>
  <c r="J58" i="2"/>
  <c r="I18" i="2"/>
  <c r="O19" i="2"/>
  <c r="N7" i="6" s="1"/>
  <c r="P18" i="2"/>
  <c r="Q31" i="2"/>
  <c r="R31" i="2" s="1"/>
  <c r="Q32" i="2"/>
  <c r="R32" i="2" s="1"/>
  <c r="O28" i="2"/>
  <c r="P28" i="2" s="1"/>
  <c r="I28" i="2"/>
  <c r="O24" i="2"/>
  <c r="P24" i="2" s="1"/>
  <c r="I24" i="2"/>
  <c r="O22" i="2"/>
  <c r="I22" i="2"/>
  <c r="I45" i="2"/>
  <c r="O45" i="2"/>
  <c r="P45" i="2" s="1"/>
  <c r="I43" i="2"/>
  <c r="O43" i="2"/>
  <c r="P43" i="2" s="1"/>
  <c r="I41" i="2"/>
  <c r="O41" i="2"/>
  <c r="P41" i="2" s="1"/>
  <c r="I39" i="2"/>
  <c r="O39" i="2"/>
  <c r="P39" i="2" s="1"/>
  <c r="I37" i="2"/>
  <c r="O37" i="2"/>
  <c r="P37" i="2" s="1"/>
  <c r="I35" i="2"/>
  <c r="O35" i="2"/>
  <c r="P35" i="2" s="1"/>
  <c r="O27" i="2"/>
  <c r="P27" i="2" s="1"/>
  <c r="I27" i="2"/>
  <c r="Q49" i="2"/>
  <c r="O23" i="2"/>
  <c r="P23" i="2" s="1"/>
  <c r="I23" i="2"/>
  <c r="I44" i="2"/>
  <c r="O44" i="2"/>
  <c r="P44" i="2" s="1"/>
  <c r="I42" i="2"/>
  <c r="O42" i="2"/>
  <c r="P42" i="2" s="1"/>
  <c r="I40" i="2"/>
  <c r="O40" i="2"/>
  <c r="P40" i="2" s="1"/>
  <c r="I38" i="2"/>
  <c r="O38" i="2"/>
  <c r="P38" i="2" s="1"/>
  <c r="I36" i="2"/>
  <c r="O36" i="2"/>
  <c r="P36" i="2" s="1"/>
  <c r="I34" i="2"/>
  <c r="O34" i="2"/>
  <c r="O26" i="2"/>
  <c r="I26" i="2"/>
  <c r="Q47" i="2"/>
  <c r="N17" i="6" l="1"/>
  <c r="M7" i="6"/>
  <c r="J7" i="6" s="1"/>
  <c r="K7" i="6" s="1"/>
  <c r="K5" i="6" s="1"/>
  <c r="P26" i="2"/>
  <c r="O58" i="2"/>
  <c r="K10" i="6"/>
  <c r="P34" i="2"/>
  <c r="Q34" i="2" s="1"/>
  <c r="R34" i="2" s="1"/>
  <c r="P22" i="2"/>
  <c r="P19" i="2"/>
  <c r="I58" i="2"/>
  <c r="F66" i="2"/>
  <c r="Q19" i="2"/>
  <c r="R19" i="2" s="1"/>
  <c r="R47" i="2"/>
  <c r="Q48" i="2"/>
  <c r="R48" i="2" s="1"/>
  <c r="Q18" i="2"/>
  <c r="Q37" i="2"/>
  <c r="R37" i="2" s="1"/>
  <c r="Q41" i="2"/>
  <c r="R41" i="2" s="1"/>
  <c r="Q45" i="2"/>
  <c r="R45" i="2" s="1"/>
  <c r="Q38" i="2"/>
  <c r="R38" i="2" s="1"/>
  <c r="Q42" i="2"/>
  <c r="R42" i="2" s="1"/>
  <c r="R49" i="2"/>
  <c r="I35" i="6" l="1"/>
  <c r="K17" i="6"/>
  <c r="J17" i="6" s="1"/>
  <c r="I34" i="6"/>
  <c r="P58" i="2"/>
  <c r="P61" i="2" s="1"/>
  <c r="O61" i="2"/>
  <c r="F64" i="2" s="1"/>
  <c r="Q24" i="2"/>
  <c r="R24" i="2" s="1"/>
  <c r="Q28" i="2"/>
  <c r="R28" i="2" s="1"/>
  <c r="Q22" i="2"/>
  <c r="R22" i="2" s="1"/>
  <c r="Q23" i="2"/>
  <c r="R23" i="2" s="1"/>
  <c r="Q27" i="2"/>
  <c r="R27" i="2" s="1"/>
  <c r="Q44" i="2"/>
  <c r="R44" i="2" s="1"/>
  <c r="Q40" i="2"/>
  <c r="R40" i="2" s="1"/>
  <c r="Q36" i="2"/>
  <c r="R36" i="2" s="1"/>
  <c r="Q43" i="2"/>
  <c r="R43" i="2" s="1"/>
  <c r="Q39" i="2"/>
  <c r="R39" i="2" s="1"/>
  <c r="Q35" i="2"/>
  <c r="R35" i="2" s="1"/>
  <c r="Q26" i="2"/>
  <c r="R26" i="2" s="1"/>
  <c r="R18" i="2"/>
  <c r="K19" i="6" l="1"/>
  <c r="I36" i="6"/>
  <c r="H34" i="6"/>
  <c r="R58" i="2"/>
  <c r="D66" i="2"/>
  <c r="Q58" i="2"/>
  <c r="H66" i="2"/>
  <c r="Q61" i="2"/>
  <c r="I38" i="6" l="1"/>
  <c r="H36" i="6"/>
  <c r="H38" i="6" s="1"/>
  <c r="H64" i="2"/>
</calcChain>
</file>

<file path=xl/comments1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=gPl
Формула для расчета
</t>
        </r>
      </text>
    </comment>
    <comment ref="Q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gDataS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gdLK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2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Если шрифт операции темносерый тогда не считаем обьем работ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gDataS</t>
        </r>
      </text>
    </comment>
    <comment ref="O6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gdLK</t>
        </r>
      </text>
    </comment>
  </commentList>
</comments>
</file>

<file path=xl/sharedStrings.xml><?xml version="1.0" encoding="utf-8"?>
<sst xmlns="http://schemas.openxmlformats.org/spreadsheetml/2006/main" count="670" uniqueCount="195">
  <si>
    <t>08\Хл\1_1_МОО-2017/2</t>
  </si>
  <si>
    <t>"Затверджую"</t>
  </si>
  <si>
    <t>Директор</t>
  </si>
  <si>
    <t>ДП "Звенигородське лісове господарство"</t>
  </si>
  <si>
    <t>Розряд висот</t>
  </si>
  <si>
    <t>Чорнобильська зона</t>
  </si>
  <si>
    <t>А.П. Проценко</t>
  </si>
  <si>
    <t>Умови роботи</t>
  </si>
  <si>
    <t>од.вим</t>
  </si>
  <si>
    <t>норми</t>
  </si>
  <si>
    <t>з/плата</t>
  </si>
  <si>
    <t xml:space="preserve">Додаткова </t>
  </si>
  <si>
    <t xml:space="preserve">Нарахування </t>
  </si>
  <si>
    <t>Всього</t>
  </si>
  <si>
    <t>норма</t>
  </si>
  <si>
    <t>тарифний</t>
  </si>
  <si>
    <t xml:space="preserve">годинна </t>
  </si>
  <si>
    <t>об"єм</t>
  </si>
  <si>
    <t>виробітку</t>
  </si>
  <si>
    <t>часу год.</t>
  </si>
  <si>
    <t>машино</t>
  </si>
  <si>
    <t>нормо</t>
  </si>
  <si>
    <t>по б/п</t>
  </si>
  <si>
    <t>заробітна</t>
  </si>
  <si>
    <t xml:space="preserve">на заробітну </t>
  </si>
  <si>
    <t>прямих</t>
  </si>
  <si>
    <t>вироб</t>
  </si>
  <si>
    <t>розряд</t>
  </si>
  <si>
    <t>тарифна</t>
  </si>
  <si>
    <t>робіт</t>
  </si>
  <si>
    <t>годин</t>
  </si>
  <si>
    <t>"Штіль"</t>
  </si>
  <si>
    <t>плата</t>
  </si>
  <si>
    <t xml:space="preserve">плату </t>
  </si>
  <si>
    <t>витрат</t>
  </si>
  <si>
    <t>ставка</t>
  </si>
  <si>
    <t>коефіцієнт</t>
  </si>
  <si>
    <t>Прибирання небезпечних дерев</t>
  </si>
  <si>
    <t>га</t>
  </si>
  <si>
    <t>6+4</t>
  </si>
  <si>
    <t>кбм</t>
  </si>
  <si>
    <t>тверді породи</t>
  </si>
  <si>
    <t>Граб</t>
  </si>
  <si>
    <t>5+5</t>
  </si>
  <si>
    <t>Зачищ.сучків після розкр.хлистів</t>
  </si>
  <si>
    <t xml:space="preserve"> Укладання дров у стоси</t>
  </si>
  <si>
    <t>Разом витрат</t>
  </si>
  <si>
    <t>Ціна за 1 літр</t>
  </si>
  <si>
    <t>Вартість ПММ</t>
  </si>
  <si>
    <t>Загальні прямі витрати</t>
  </si>
  <si>
    <t>Прямі витрати лісгопу на 1 м3</t>
  </si>
  <si>
    <t>Підприємець</t>
  </si>
  <si>
    <t xml:space="preserve">Економічний ефект на 1 м3 </t>
  </si>
  <si>
    <t>Всі витрати бригади на заготівлю</t>
  </si>
  <si>
    <t>Лісництво</t>
  </si>
  <si>
    <t>Квартал</t>
  </si>
  <si>
    <t>Відділ</t>
  </si>
  <si>
    <t>Площа</t>
  </si>
  <si>
    <t>Вид рубки</t>
  </si>
  <si>
    <t xml:space="preserve">                                     ТЕХНОЛОГІЧНА  КАРТА  до Договору            №</t>
  </si>
  <si>
    <t>Кількість дерев</t>
  </si>
  <si>
    <t>Ліквідний запас м3</t>
  </si>
  <si>
    <t>Загальний запас м3</t>
  </si>
  <si>
    <t>Кількість неліквіду м3</t>
  </si>
  <si>
    <t>Середній об"єм хлиста</t>
  </si>
  <si>
    <t>Запас на 1 га</t>
  </si>
  <si>
    <t>Кут схилу</t>
  </si>
  <si>
    <t>Загальний коефіцієнт</t>
  </si>
  <si>
    <t>Дата тарифних ставок</t>
  </si>
  <si>
    <t>Виконавець</t>
  </si>
  <si>
    <t>шт</t>
  </si>
  <si>
    <t>4+2</t>
  </si>
  <si>
    <t>Хвойні та м'яколистяні породи</t>
  </si>
  <si>
    <t>Твердолистяні породи</t>
  </si>
  <si>
    <t>Вибираєма маса підліску з 1 га скм</t>
  </si>
  <si>
    <t xml:space="preserve">                            Граб</t>
  </si>
  <si>
    <t>Середній діаметр пня</t>
  </si>
  <si>
    <t>Захаращеність лісосіки</t>
  </si>
  <si>
    <t>Хлипнівка</t>
  </si>
  <si>
    <t>важкі</t>
  </si>
  <si>
    <t>01.08.2017 р.</t>
  </si>
  <si>
    <t>Морозова</t>
  </si>
  <si>
    <t>м"які породи</t>
  </si>
  <si>
    <t>Збирання і склад вкупи верхов.</t>
  </si>
  <si>
    <t>Економічний ефект на 1м3</t>
  </si>
  <si>
    <t>Лісорубний квиток №</t>
  </si>
  <si>
    <t>Всі витрати бригади на заготівлю в сортиментах</t>
  </si>
  <si>
    <t>ВСР</t>
  </si>
  <si>
    <t>Головна порода</t>
  </si>
  <si>
    <t xml:space="preserve">Вид рубки/головна порода </t>
  </si>
  <si>
    <t>РГК/дуб</t>
  </si>
  <si>
    <t>Вибираєма маса з 1 га</t>
  </si>
  <si>
    <t>"Хускварна"</t>
  </si>
  <si>
    <t>хворост довжиною до 2 м. м"які породи</t>
  </si>
  <si>
    <t>хворост довж. 2,1-4 м.     м"які породи</t>
  </si>
  <si>
    <t>хворост довж. 4,1-6 м.     м"які породи</t>
  </si>
  <si>
    <t>поліна(дрова довж.1 м.)    м"які породи</t>
  </si>
  <si>
    <t xml:space="preserve">                                                 колючі</t>
  </si>
  <si>
    <t xml:space="preserve">                                                колючі</t>
  </si>
  <si>
    <t>На механізовані роботи</t>
  </si>
  <si>
    <t xml:space="preserve">Прямі витрати лісгоспу </t>
  </si>
  <si>
    <t>виробітку з коєфіціентом</t>
  </si>
  <si>
    <t>скм</t>
  </si>
  <si>
    <t>Перевод у м3</t>
  </si>
  <si>
    <t>Спилювання дерев товщиною в окоренку 4 см з переход для заправки кущоріза , технічного обсуговування механізму</t>
  </si>
  <si>
    <t>Всі витрати бригади на заготівлю в хлистах</t>
  </si>
  <si>
    <t>Очищення місць рубок після освітленнят та прочистки механізованим способом</t>
  </si>
  <si>
    <t>Вирубування кущів і підросту</t>
  </si>
  <si>
    <t>густа</t>
  </si>
  <si>
    <t>Звалювання дерев бензомомоторними пилами</t>
  </si>
  <si>
    <t>Зрізування гілок та сучків бензомоторними пилами</t>
  </si>
  <si>
    <t>Збирання та складання в купи гілок та сучків</t>
  </si>
  <si>
    <t>Розкряжування хлистів бензомоторними пилами</t>
  </si>
  <si>
    <r>
      <t>Деревина дров"яна для промислового використання</t>
    </r>
    <r>
      <rPr>
        <sz val="11"/>
        <color theme="1"/>
        <rFont val="Calibri"/>
        <family val="2"/>
        <scheme val="minor"/>
      </rPr>
      <t xml:space="preserve">                                          Граб</t>
    </r>
  </si>
  <si>
    <r>
      <t>Дрова паливні  до 2,0 м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Граб</t>
    </r>
  </si>
  <si>
    <t>Деревина класу B,C,D                                                                                                           Граб</t>
  </si>
  <si>
    <t>Деревина класу  A                                                                                                                  Граб</t>
  </si>
  <si>
    <t>Прибирання небезпечних дерев.</t>
  </si>
  <si>
    <t>№             п/п</t>
  </si>
  <si>
    <t>Найменування послуг*</t>
  </si>
  <si>
    <t>Одиниці виміру</t>
  </si>
  <si>
    <t>Кількість</t>
  </si>
  <si>
    <t>Розцінка за одиницю, грн.</t>
  </si>
  <si>
    <t>Сума,                                          грн.</t>
  </si>
  <si>
    <t>1.</t>
  </si>
  <si>
    <t>Підготовчі роботи та допоміжні роботи на лісосіці.</t>
  </si>
  <si>
    <t>1.1.</t>
  </si>
  <si>
    <t>1.2.</t>
  </si>
  <si>
    <t>Вирубування кущів і підросту, прибирання волоку, що заважає валці лісу.</t>
  </si>
  <si>
    <t>1.3.</t>
  </si>
  <si>
    <t>Спилювання пнів бензиномоторними пилами.</t>
  </si>
  <si>
    <t>шт.</t>
  </si>
  <si>
    <t>1.4.</t>
  </si>
  <si>
    <t>Спалювання гілля в зимових умовах.</t>
  </si>
  <si>
    <t>2.</t>
  </si>
  <si>
    <t>Лісосічні роботи.</t>
  </si>
  <si>
    <t>2.1.</t>
  </si>
  <si>
    <t>Звалювання дерев бензиномоторними пилками.</t>
  </si>
  <si>
    <t>2.2.</t>
  </si>
  <si>
    <t>Зрізування гілок та сучків бензиномоторними пилками.</t>
  </si>
  <si>
    <t>2.3.</t>
  </si>
  <si>
    <t>Збирання, складання в купи гілок, сучків та інше.</t>
  </si>
  <si>
    <t>2.4.</t>
  </si>
  <si>
    <t>Розкряжування хлистів бензиномоторними пилами.</t>
  </si>
  <si>
    <t>2.5.</t>
  </si>
  <si>
    <t>Зачищення сучків після розкряжування.</t>
  </si>
  <si>
    <t>2.6.</t>
  </si>
  <si>
    <t>Укладання дров у стоси вручну.</t>
  </si>
  <si>
    <t>Всього без ПДВ підготовчнх та лісосічних робіт</t>
  </si>
  <si>
    <t>ПДВ</t>
  </si>
  <si>
    <t>Всього з ПДВ підготовчих та лісосічних робіт</t>
  </si>
  <si>
    <t>3.</t>
  </si>
  <si>
    <t>Трелювання деревини сортиментами з сортуванням.</t>
  </si>
  <si>
    <t>Всього без ПДВ трелювання</t>
  </si>
  <si>
    <t>Всього з ПДВ трелювання</t>
  </si>
  <si>
    <t>Спилювання пнів бензомоторними пилами</t>
  </si>
  <si>
    <t>Спалювання гілля</t>
  </si>
  <si>
    <t>Вартість одиниці перевірка</t>
  </si>
  <si>
    <t>Сума перевірка</t>
  </si>
  <si>
    <t>-</t>
  </si>
  <si>
    <t>ПРОТОКОЛ</t>
  </si>
  <si>
    <t>погодження вартості послуг, які надаються за Договором</t>
  </si>
  <si>
    <t>квартал</t>
  </si>
  <si>
    <t>лісорубний квиток №</t>
  </si>
  <si>
    <t>Найменування послуг</t>
  </si>
  <si>
    <t>ТЕХНІЧНЕ ЗАВДАННЯ</t>
  </si>
  <si>
    <t>Перелік та обсяг послуг, пов'язаних з лісівництвом, які надаються за Договором:</t>
  </si>
  <si>
    <t>Спалювання гілля.</t>
  </si>
  <si>
    <t xml:space="preserve">                                                                                                                 КОШТОРИС</t>
  </si>
  <si>
    <t xml:space="preserve">                                                                                на послуги, які надаються за Договором</t>
  </si>
  <si>
    <t>Збирання, складання в купи верховіття</t>
  </si>
  <si>
    <t>Всього без ПДВ  лісосічних робіт</t>
  </si>
  <si>
    <t>Всього з ПДВ лісосічних робіт</t>
  </si>
  <si>
    <t xml:space="preserve">Трелювання деревини </t>
  </si>
  <si>
    <t>Трелювання деревини</t>
  </si>
  <si>
    <t>Трелювання деревини.</t>
  </si>
  <si>
    <t xml:space="preserve">Трелювання деревини. </t>
  </si>
  <si>
    <t>1.1</t>
  </si>
  <si>
    <t>1.2</t>
  </si>
  <si>
    <t>1.4</t>
  </si>
  <si>
    <t>1.5</t>
  </si>
  <si>
    <t>1.6</t>
  </si>
  <si>
    <t>1.3</t>
  </si>
  <si>
    <t>Спилювання дерев товщиною в окопенку 4 см з переходом для заправки кущоріза, технічне обслуговуваня механізму</t>
  </si>
  <si>
    <t>Очищення місць рубок після освітлення та прочистки механізованим способом</t>
  </si>
  <si>
    <t>Всього без ПДВ лісосічних робіт</t>
  </si>
  <si>
    <t>Всього з ПДВ  лісосічних робіт</t>
  </si>
  <si>
    <t xml:space="preserve">норма </t>
  </si>
  <si>
    <t xml:space="preserve">витрати </t>
  </si>
  <si>
    <t>ПММ</t>
  </si>
  <si>
    <t xml:space="preserve">Кількість </t>
  </si>
  <si>
    <t>л.</t>
  </si>
  <si>
    <t>диз.масла</t>
  </si>
  <si>
    <t>масла Штіль</t>
  </si>
  <si>
    <t>Переводний коефіцієнт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</si>
</sst>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₴_-;\-* #,##0.00_₴_-;_-* &quot;-&quot;??_₴_-;_-@_-"/>
    <numFmt numFmtId="164" formatCode="0.000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2"/>
      <name val="Arial Cyr"/>
      <charset val="204"/>
    </font>
    <font>
      <b/>
      <sz val="10"/>
      <name val="Arial"/>
      <family val="2"/>
      <charset val="204"/>
    </font>
    <font>
      <b/>
      <i/>
      <sz val="10"/>
      <name val="Arial Cyr"/>
      <charset val="204"/>
    </font>
    <font>
      <i/>
      <sz val="10"/>
      <name val="Arial Cyr"/>
      <charset val="204"/>
    </font>
    <font>
      <b/>
      <sz val="10"/>
      <name val="Arial Cyr"/>
      <family val="2"/>
      <charset val="204"/>
    </font>
    <font>
      <b/>
      <i/>
      <sz val="12"/>
      <name val="Arial Cyr"/>
      <charset val="204"/>
    </font>
    <font>
      <b/>
      <sz val="12"/>
      <name val="Arial Cyr"/>
      <family val="2"/>
      <charset val="204"/>
    </font>
    <font>
      <b/>
      <sz val="12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4"/>
      <name val="Arial Cyr"/>
      <charset val="204"/>
    </font>
    <font>
      <sz val="14"/>
      <name val="Arial Cyr"/>
      <charset val="204"/>
    </font>
    <font>
      <sz val="14"/>
      <color theme="1"/>
      <name val="Calibri"/>
      <family val="2"/>
      <scheme val="minor"/>
    </font>
    <font>
      <sz val="14"/>
      <name val="Arial"/>
      <family val="2"/>
      <charset val="204"/>
    </font>
    <font>
      <b/>
      <i/>
      <sz val="14"/>
      <name val="Arial Cyr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i/>
      <sz val="1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1" fillId="0" borderId="0"/>
    <xf numFmtId="43" fontId="34" fillId="0" borderId="0" applyFont="0" applyFill="0" applyBorder="0" applyAlignment="0" applyProtection="0"/>
  </cellStyleXfs>
  <cellXfs count="371">
    <xf numFmtId="0" fontId="0" fillId="0" borderId="0" xfId="0"/>
    <xf numFmtId="0" fontId="3" fillId="0" borderId="0" xfId="1" applyFont="1" applyFill="1" applyAlignment="1"/>
    <xf numFmtId="0" fontId="2" fillId="0" borderId="0" xfId="1" applyFill="1"/>
    <xf numFmtId="0" fontId="4" fillId="0" borderId="0" xfId="2" applyFill="1"/>
    <xf numFmtId="0" fontId="3" fillId="0" borderId="0" xfId="1" applyFont="1" applyFill="1"/>
    <xf numFmtId="0" fontId="5" fillId="0" borderId="0" xfId="1" applyFont="1" applyFill="1" applyBorder="1" applyAlignment="1"/>
    <xf numFmtId="0" fontId="0" fillId="0" borderId="0" xfId="1" applyFont="1" applyFill="1" applyAlignment="1"/>
    <xf numFmtId="0" fontId="2" fillId="0" borderId="0" xfId="1" applyFill="1" applyAlignment="1"/>
    <xf numFmtId="0" fontId="4" fillId="0" borderId="0" xfId="2" applyFont="1" applyFill="1"/>
    <xf numFmtId="0" fontId="2" fillId="0" borderId="2" xfId="1" applyFill="1" applyBorder="1" applyAlignment="1">
      <alignment horizontal="center"/>
    </xf>
    <xf numFmtId="0" fontId="2" fillId="0" borderId="3" xfId="1" applyFill="1" applyBorder="1" applyAlignment="1">
      <alignment horizontal="center"/>
    </xf>
    <xf numFmtId="0" fontId="2" fillId="0" borderId="5" xfId="1" applyFill="1" applyBorder="1" applyAlignment="1">
      <alignment horizontal="center"/>
    </xf>
    <xf numFmtId="0" fontId="2" fillId="0" borderId="6" xfId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7" xfId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2" fillId="0" borderId="8" xfId="1" applyFill="1" applyBorder="1" applyAlignment="1">
      <alignment horizontal="center"/>
    </xf>
    <xf numFmtId="0" fontId="2" fillId="0" borderId="8" xfId="1" applyFill="1" applyBorder="1"/>
    <xf numFmtId="0" fontId="2" fillId="0" borderId="7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2" fillId="0" borderId="10" xfId="1" applyFill="1" applyBorder="1"/>
    <xf numFmtId="0" fontId="2" fillId="0" borderId="9" xfId="1" applyFill="1" applyBorder="1"/>
    <xf numFmtId="0" fontId="7" fillId="0" borderId="11" xfId="1" applyFont="1" applyFill="1" applyBorder="1" applyAlignment="1">
      <alignment horizontal="center"/>
    </xf>
    <xf numFmtId="0" fontId="2" fillId="0" borderId="12" xfId="1" applyFill="1" applyBorder="1" applyAlignment="1">
      <alignment horizontal="center"/>
    </xf>
    <xf numFmtId="2" fontId="2" fillId="0" borderId="12" xfId="1" applyNumberFormat="1" applyFont="1" applyFill="1" applyBorder="1" applyAlignment="1">
      <alignment horizontal="center"/>
    </xf>
    <xf numFmtId="2" fontId="2" fillId="0" borderId="12" xfId="1" applyNumberFormat="1" applyFill="1" applyBorder="1" applyAlignment="1">
      <alignment horizontal="center"/>
    </xf>
    <xf numFmtId="0" fontId="2" fillId="0" borderId="13" xfId="1" applyFill="1" applyBorder="1"/>
    <xf numFmtId="0" fontId="2" fillId="0" borderId="15" xfId="1" applyFill="1" applyBorder="1" applyAlignment="1">
      <alignment horizontal="center"/>
    </xf>
    <xf numFmtId="2" fontId="2" fillId="0" borderId="15" xfId="1" applyNumberForma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2" fillId="0" borderId="18" xfId="1" applyFill="1" applyBorder="1" applyAlignment="1">
      <alignment horizontal="center"/>
    </xf>
    <xf numFmtId="0" fontId="2" fillId="0" borderId="18" xfId="1" applyFill="1" applyBorder="1"/>
    <xf numFmtId="49" fontId="2" fillId="0" borderId="18" xfId="1" applyNumberFormat="1" applyFill="1" applyBorder="1" applyAlignment="1">
      <alignment horizontal="center"/>
    </xf>
    <xf numFmtId="2" fontId="2" fillId="0" borderId="18" xfId="1" applyNumberForma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2" fontId="2" fillId="0" borderId="1" xfId="1" applyNumberForma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64" fontId="2" fillId="0" borderId="1" xfId="1" applyNumberFormat="1" applyFill="1" applyBorder="1" applyAlignment="1">
      <alignment horizontal="center"/>
    </xf>
    <xf numFmtId="0" fontId="2" fillId="0" borderId="20" xfId="1" applyFont="1" applyFill="1" applyBorder="1" applyAlignment="1">
      <alignment horizontal="right"/>
    </xf>
    <xf numFmtId="0" fontId="2" fillId="0" borderId="1" xfId="1" applyFill="1" applyBorder="1"/>
    <xf numFmtId="0" fontId="2" fillId="0" borderId="22" xfId="1" applyFont="1" applyFill="1" applyBorder="1" applyAlignment="1">
      <alignment horizontal="right"/>
    </xf>
    <xf numFmtId="0" fontId="8" fillId="0" borderId="23" xfId="1" applyFont="1" applyFill="1" applyBorder="1" applyAlignment="1">
      <alignment horizontal="center"/>
    </xf>
    <xf numFmtId="0" fontId="2" fillId="0" borderId="23" xfId="1" applyFill="1" applyBorder="1" applyAlignment="1">
      <alignment horizontal="center"/>
    </xf>
    <xf numFmtId="0" fontId="2" fillId="0" borderId="23" xfId="1" applyFill="1" applyBorder="1"/>
    <xf numFmtId="2" fontId="2" fillId="0" borderId="23" xfId="1" applyNumberFormat="1" applyFill="1" applyBorder="1" applyAlignment="1">
      <alignment horizontal="center"/>
    </xf>
    <xf numFmtId="164" fontId="2" fillId="0" borderId="23" xfId="1" applyNumberFormat="1" applyFill="1" applyBorder="1" applyAlignment="1">
      <alignment horizontal="center"/>
    </xf>
    <xf numFmtId="0" fontId="3" fillId="0" borderId="17" xfId="1" applyFont="1" applyFill="1" applyBorder="1"/>
    <xf numFmtId="0" fontId="3" fillId="0" borderId="18" xfId="1" applyFont="1" applyFill="1" applyBorder="1"/>
    <xf numFmtId="2" fontId="3" fillId="0" borderId="18" xfId="1" applyNumberFormat="1" applyFont="1" applyFill="1" applyBorder="1"/>
    <xf numFmtId="0" fontId="3" fillId="0" borderId="18" xfId="1" applyFont="1" applyFill="1" applyBorder="1" applyAlignment="1">
      <alignment horizontal="center"/>
    </xf>
    <xf numFmtId="164" fontId="3" fillId="0" borderId="18" xfId="1" applyNumberFormat="1" applyFont="1" applyFill="1" applyBorder="1"/>
    <xf numFmtId="2" fontId="3" fillId="0" borderId="19" xfId="1" applyNumberFormat="1" applyFont="1" applyFill="1" applyBorder="1" applyAlignment="1">
      <alignment horizontal="center"/>
    </xf>
    <xf numFmtId="0" fontId="2" fillId="0" borderId="18" xfId="1" quotePrefix="1" applyFill="1" applyBorder="1" applyAlignment="1">
      <alignment horizontal="center"/>
    </xf>
    <xf numFmtId="164" fontId="2" fillId="0" borderId="18" xfId="1" applyNumberFormat="1" applyFill="1" applyBorder="1" applyAlignment="1">
      <alignment horizontal="center"/>
    </xf>
    <xf numFmtId="0" fontId="8" fillId="0" borderId="20" xfId="1" applyFont="1" applyFill="1" applyBorder="1"/>
    <xf numFmtId="2" fontId="2" fillId="0" borderId="1" xfId="1" applyNumberFormat="1" applyFont="1" applyFill="1" applyBorder="1" applyAlignment="1">
      <alignment horizontal="center"/>
    </xf>
    <xf numFmtId="0" fontId="2" fillId="0" borderId="1" xfId="1" quotePrefix="1" applyFill="1" applyBorder="1" applyAlignment="1">
      <alignment horizontal="center"/>
    </xf>
    <xf numFmtId="2" fontId="2" fillId="0" borderId="1" xfId="1" applyNumberFormat="1" applyFill="1" applyBorder="1"/>
    <xf numFmtId="49" fontId="2" fillId="0" borderId="1" xfId="1" applyNumberFormat="1" applyFill="1" applyBorder="1" applyAlignment="1">
      <alignment horizontal="center"/>
    </xf>
    <xf numFmtId="2" fontId="2" fillId="0" borderId="25" xfId="1" applyNumberFormat="1" applyFill="1" applyBorder="1" applyAlignment="1">
      <alignment horizontal="center"/>
    </xf>
    <xf numFmtId="2" fontId="2" fillId="0" borderId="23" xfId="1" applyNumberFormat="1" applyFill="1" applyBorder="1"/>
    <xf numFmtId="2" fontId="2" fillId="0" borderId="18" xfId="1" applyNumberFormat="1" applyFill="1" applyBorder="1"/>
    <xf numFmtId="164" fontId="2" fillId="0" borderId="18" xfId="1" applyNumberFormat="1" applyFill="1" applyBorder="1"/>
    <xf numFmtId="0" fontId="2" fillId="0" borderId="28" xfId="1" applyFill="1" applyBorder="1" applyAlignment="1">
      <alignment horizontal="center"/>
    </xf>
    <xf numFmtId="0" fontId="3" fillId="0" borderId="29" xfId="1" applyFont="1" applyFill="1" applyBorder="1" applyAlignment="1">
      <alignment horizontal="center"/>
    </xf>
    <xf numFmtId="0" fontId="2" fillId="0" borderId="15" xfId="1" applyFill="1" applyBorder="1"/>
    <xf numFmtId="0" fontId="3" fillId="0" borderId="30" xfId="1" applyFont="1" applyFill="1" applyBorder="1" applyAlignment="1">
      <alignment horizontal="left"/>
    </xf>
    <xf numFmtId="0" fontId="2" fillId="0" borderId="25" xfId="1" applyFill="1" applyBorder="1"/>
    <xf numFmtId="0" fontId="2" fillId="0" borderId="25" xfId="1" applyFill="1" applyBorder="1" applyAlignment="1">
      <alignment horizontal="center"/>
    </xf>
    <xf numFmtId="0" fontId="3" fillId="0" borderId="1" xfId="1" applyFont="1" applyFill="1" applyBorder="1" applyAlignment="1">
      <alignment horizontal="left"/>
    </xf>
    <xf numFmtId="0" fontId="3" fillId="0" borderId="32" xfId="1" applyFont="1" applyFill="1" applyBorder="1" applyAlignment="1">
      <alignment horizontal="left"/>
    </xf>
    <xf numFmtId="0" fontId="2" fillId="0" borderId="0" xfId="1" applyFill="1" applyBorder="1"/>
    <xf numFmtId="0" fontId="2" fillId="0" borderId="0" xfId="1" applyFill="1" applyBorder="1" applyAlignment="1">
      <alignment horizontal="center"/>
    </xf>
    <xf numFmtId="0" fontId="2" fillId="0" borderId="33" xfId="1" applyFill="1" applyBorder="1"/>
    <xf numFmtId="0" fontId="2" fillId="0" borderId="0" xfId="1" applyFill="1" applyAlignment="1">
      <alignment horizontal="center"/>
    </xf>
    <xf numFmtId="0" fontId="2" fillId="0" borderId="0" xfId="1" applyFont="1" applyFill="1" applyAlignment="1">
      <alignment horizontal="center"/>
    </xf>
    <xf numFmtId="2" fontId="2" fillId="0" borderId="0" xfId="1" applyNumberFormat="1" applyFill="1" applyAlignment="1">
      <alignment horizontal="center"/>
    </xf>
    <xf numFmtId="0" fontId="9" fillId="0" borderId="0" xfId="1" applyFont="1" applyFill="1" applyBorder="1"/>
    <xf numFmtId="0" fontId="10" fillId="0" borderId="0" xfId="1" applyFont="1" applyFill="1" applyBorder="1"/>
    <xf numFmtId="1" fontId="2" fillId="0" borderId="0" xfId="1" applyNumberFormat="1" applyFill="1"/>
    <xf numFmtId="0" fontId="0" fillId="0" borderId="0" xfId="1" applyFont="1" applyFill="1" applyBorder="1"/>
    <xf numFmtId="0" fontId="2" fillId="0" borderId="0" xfId="1" applyFont="1" applyFill="1" applyBorder="1"/>
    <xf numFmtId="2" fontId="3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Border="1"/>
    <xf numFmtId="2" fontId="2" fillId="0" borderId="0" xfId="1" applyNumberForma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14" fontId="12" fillId="0" borderId="0" xfId="0" applyNumberFormat="1" applyFont="1" applyFill="1"/>
    <xf numFmtId="0" fontId="7" fillId="0" borderId="0" xfId="1" applyFont="1" applyFill="1" applyBorder="1" applyAlignment="1"/>
    <xf numFmtId="0" fontId="7" fillId="0" borderId="0" xfId="1" applyFont="1" applyFill="1" applyBorder="1" applyAlignment="1">
      <alignment horizontal="center"/>
    </xf>
    <xf numFmtId="2" fontId="7" fillId="0" borderId="0" xfId="1" applyNumberFormat="1" applyFont="1" applyFill="1" applyBorder="1" applyAlignment="1"/>
    <xf numFmtId="2" fontId="7" fillId="0" borderId="0" xfId="1" applyNumberFormat="1" applyFont="1" applyFill="1" applyBorder="1" applyAlignment="1">
      <alignment horizontal="center"/>
    </xf>
    <xf numFmtId="0" fontId="7" fillId="0" borderId="0" xfId="1" applyFont="1" applyFill="1" applyAlignment="1"/>
    <xf numFmtId="0" fontId="3" fillId="0" borderId="0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14" fontId="3" fillId="0" borderId="0" xfId="1" applyNumberFormat="1" applyFont="1" applyFill="1" applyAlignment="1">
      <alignment horizontal="center"/>
    </xf>
    <xf numFmtId="0" fontId="6" fillId="0" borderId="0" xfId="2" applyFont="1" applyFill="1"/>
    <xf numFmtId="0" fontId="3" fillId="0" borderId="0" xfId="1" applyFont="1" applyFill="1" applyBorder="1" applyAlignment="1"/>
    <xf numFmtId="0" fontId="3" fillId="0" borderId="3" xfId="1" applyFont="1" applyFill="1" applyBorder="1" applyAlignment="1">
      <alignment horizontal="center"/>
    </xf>
    <xf numFmtId="0" fontId="2" fillId="0" borderId="45" xfId="1" applyFill="1" applyBorder="1" applyAlignment="1">
      <alignment horizontal="center"/>
    </xf>
    <xf numFmtId="0" fontId="2" fillId="0" borderId="45" xfId="1" applyFont="1" applyFill="1" applyBorder="1" applyAlignment="1">
      <alignment horizontal="center"/>
    </xf>
    <xf numFmtId="2" fontId="2" fillId="0" borderId="45" xfId="1" applyNumberFormat="1" applyFill="1" applyBorder="1" applyAlignment="1">
      <alignment horizontal="center"/>
    </xf>
    <xf numFmtId="0" fontId="0" fillId="0" borderId="20" xfId="1" applyFont="1" applyFill="1" applyBorder="1" applyAlignment="1">
      <alignment horizontal="right"/>
    </xf>
    <xf numFmtId="0" fontId="8" fillId="0" borderId="14" xfId="1" applyFont="1" applyFill="1" applyBorder="1" applyAlignment="1">
      <alignment horizontal="center"/>
    </xf>
    <xf numFmtId="0" fontId="3" fillId="0" borderId="45" xfId="1" applyFont="1" applyFill="1" applyBorder="1" applyAlignment="1">
      <alignment horizontal="center"/>
    </xf>
    <xf numFmtId="0" fontId="3" fillId="0" borderId="44" xfId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/>
    <xf numFmtId="2" fontId="3" fillId="0" borderId="23" xfId="1" applyNumberFormat="1" applyFont="1" applyFill="1" applyBorder="1"/>
    <xf numFmtId="1" fontId="3" fillId="0" borderId="1" xfId="1" applyNumberFormat="1" applyFont="1" applyFill="1" applyBorder="1" applyAlignment="1">
      <alignment horizontal="center"/>
    </xf>
    <xf numFmtId="1" fontId="3" fillId="0" borderId="23" xfId="1" applyNumberFormat="1" applyFont="1" applyFill="1" applyBorder="1" applyAlignment="1">
      <alignment horizontal="center"/>
    </xf>
    <xf numFmtId="1" fontId="3" fillId="0" borderId="18" xfId="1" applyNumberFormat="1" applyFont="1" applyFill="1" applyBorder="1"/>
    <xf numFmtId="1" fontId="3" fillId="0" borderId="18" xfId="1" applyNumberFormat="1" applyFont="1" applyFill="1" applyBorder="1" applyAlignment="1">
      <alignment horizontal="center"/>
    </xf>
    <xf numFmtId="1" fontId="3" fillId="0" borderId="15" xfId="1" applyNumberFormat="1" applyFont="1" applyFill="1" applyBorder="1" applyAlignment="1">
      <alignment horizontal="center"/>
    </xf>
    <xf numFmtId="2" fontId="3" fillId="0" borderId="16" xfId="1" applyNumberFormat="1" applyFont="1" applyFill="1" applyBorder="1" applyAlignment="1">
      <alignment horizontal="center"/>
    </xf>
    <xf numFmtId="2" fontId="3" fillId="0" borderId="46" xfId="1" applyNumberFormat="1" applyFont="1" applyFill="1" applyBorder="1" applyAlignment="1">
      <alignment horizontal="center"/>
    </xf>
    <xf numFmtId="2" fontId="3" fillId="0" borderId="19" xfId="1" applyNumberFormat="1" applyFont="1" applyFill="1" applyBorder="1"/>
    <xf numFmtId="2" fontId="3" fillId="0" borderId="21" xfId="1" applyNumberFormat="1" applyFont="1" applyFill="1" applyBorder="1" applyAlignment="1">
      <alignment horizontal="center"/>
    </xf>
    <xf numFmtId="2" fontId="3" fillId="0" borderId="24" xfId="1" applyNumberFormat="1" applyFont="1" applyFill="1" applyBorder="1" applyAlignment="1">
      <alignment horizontal="center"/>
    </xf>
    <xf numFmtId="2" fontId="3" fillId="0" borderId="31" xfId="1" applyNumberFormat="1" applyFont="1" applyFill="1" applyBorder="1" applyAlignment="1">
      <alignment horizontal="center"/>
    </xf>
    <xf numFmtId="164" fontId="2" fillId="0" borderId="45" xfId="1" applyNumberFormat="1" applyFill="1" applyBorder="1" applyAlignment="1">
      <alignment horizontal="center"/>
    </xf>
    <xf numFmtId="164" fontId="2" fillId="0" borderId="15" xfId="1" applyNumberFormat="1" applyFill="1" applyBorder="1" applyAlignment="1">
      <alignment horizontal="center"/>
    </xf>
    <xf numFmtId="0" fontId="18" fillId="0" borderId="0" xfId="1" applyFont="1" applyFill="1" applyAlignment="1">
      <alignment horizontal="left"/>
    </xf>
    <xf numFmtId="0" fontId="19" fillId="0" borderId="0" xfId="1" applyFont="1" applyFill="1" applyAlignment="1">
      <alignment horizontal="left"/>
    </xf>
    <xf numFmtId="0" fontId="19" fillId="0" borderId="0" xfId="1" applyFont="1" applyFill="1" applyAlignment="1">
      <alignment horizontal="left"/>
    </xf>
    <xf numFmtId="0" fontId="2" fillId="0" borderId="1" xfId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2" fontId="3" fillId="0" borderId="17" xfId="1" applyNumberFormat="1" applyFont="1" applyFill="1" applyBorder="1"/>
    <xf numFmtId="2" fontId="3" fillId="0" borderId="12" xfId="1" applyNumberFormat="1" applyFont="1" applyFill="1" applyBorder="1" applyAlignment="1">
      <alignment horizontal="center"/>
    </xf>
    <xf numFmtId="2" fontId="10" fillId="0" borderId="0" xfId="1" applyNumberFormat="1" applyFont="1" applyFill="1" applyBorder="1"/>
    <xf numFmtId="2" fontId="2" fillId="0" borderId="39" xfId="1" applyNumberFormat="1" applyFill="1" applyBorder="1" applyAlignment="1">
      <alignment horizontal="center"/>
    </xf>
    <xf numFmtId="2" fontId="10" fillId="0" borderId="0" xfId="1" applyNumberFormat="1" applyFont="1" applyFill="1" applyBorder="1" applyAlignment="1">
      <alignment horizontal="center"/>
    </xf>
    <xf numFmtId="0" fontId="2" fillId="0" borderId="2" xfId="1" applyFont="1" applyFill="1" applyBorder="1"/>
    <xf numFmtId="0" fontId="2" fillId="0" borderId="7" xfId="1" applyFont="1" applyFill="1" applyBorder="1"/>
    <xf numFmtId="0" fontId="2" fillId="0" borderId="7" xfId="1" applyFill="1" applyBorder="1"/>
    <xf numFmtId="0" fontId="7" fillId="0" borderId="12" xfId="1" applyFont="1" applyFill="1" applyBorder="1" applyAlignment="1">
      <alignment horizontal="center"/>
    </xf>
    <xf numFmtId="0" fontId="2" fillId="0" borderId="12" xfId="1" applyNumberFormat="1" applyFill="1" applyBorder="1" applyAlignment="1">
      <alignment horizontal="center"/>
    </xf>
    <xf numFmtId="2" fontId="2" fillId="0" borderId="35" xfId="1" applyNumberFormat="1" applyFill="1" applyBorder="1" applyAlignment="1">
      <alignment horizontal="center"/>
    </xf>
    <xf numFmtId="2" fontId="2" fillId="0" borderId="50" xfId="1" applyNumberFormat="1" applyFill="1" applyBorder="1" applyAlignment="1">
      <alignment horizontal="center"/>
    </xf>
    <xf numFmtId="0" fontId="10" fillId="0" borderId="29" xfId="1" applyFont="1" applyFill="1" applyBorder="1" applyAlignment="1">
      <alignment horizontal="center"/>
    </xf>
    <xf numFmtId="0" fontId="2" fillId="0" borderId="17" xfId="1" applyFont="1" applyFill="1" applyBorder="1"/>
    <xf numFmtId="0" fontId="8" fillId="0" borderId="18" xfId="1" applyFont="1" applyFill="1" applyBorder="1" applyAlignment="1">
      <alignment horizontal="center"/>
    </xf>
    <xf numFmtId="0" fontId="2" fillId="0" borderId="18" xfId="1" applyFont="1" applyFill="1" applyBorder="1" applyAlignment="1">
      <alignment horizontal="center"/>
    </xf>
    <xf numFmtId="0" fontId="2" fillId="0" borderId="52" xfId="1" applyFont="1" applyFill="1" applyBorder="1" applyAlignment="1">
      <alignment horizontal="right"/>
    </xf>
    <xf numFmtId="0" fontId="2" fillId="0" borderId="53" xfId="1" applyFill="1" applyBorder="1" applyAlignment="1">
      <alignment horizontal="center"/>
    </xf>
    <xf numFmtId="2" fontId="2" fillId="0" borderId="53" xfId="1" applyNumberFormat="1" applyFill="1" applyBorder="1" applyAlignment="1">
      <alignment horizontal="center"/>
    </xf>
    <xf numFmtId="2" fontId="2" fillId="0" borderId="47" xfId="1" applyNumberFormat="1" applyFill="1" applyBorder="1" applyAlignment="1">
      <alignment horizontal="center"/>
    </xf>
    <xf numFmtId="0" fontId="2" fillId="0" borderId="30" xfId="1" applyFont="1" applyFill="1" applyBorder="1"/>
    <xf numFmtId="2" fontId="2" fillId="0" borderId="49" xfId="1" applyNumberFormat="1" applyFill="1" applyBorder="1" applyAlignment="1">
      <alignment horizontal="center"/>
    </xf>
    <xf numFmtId="0" fontId="10" fillId="0" borderId="15" xfId="1" applyFont="1" applyFill="1" applyBorder="1"/>
    <xf numFmtId="0" fontId="10" fillId="0" borderId="15" xfId="1" applyFont="1" applyFill="1" applyBorder="1" applyAlignment="1">
      <alignment horizontal="center"/>
    </xf>
    <xf numFmtId="2" fontId="10" fillId="0" borderId="51" xfId="1" applyNumberFormat="1" applyFont="1" applyFill="1" applyBorder="1" applyAlignment="1">
      <alignment horizontal="center"/>
    </xf>
    <xf numFmtId="2" fontId="10" fillId="0" borderId="1" xfId="1" applyNumberFormat="1" applyFont="1" applyFill="1" applyBorder="1"/>
    <xf numFmtId="0" fontId="7" fillId="0" borderId="0" xfId="1" applyFont="1" applyFill="1"/>
    <xf numFmtId="0" fontId="9" fillId="0" borderId="25" xfId="1" applyFont="1" applyFill="1" applyBorder="1" applyAlignment="1">
      <alignment horizontal="center" vertical="center" wrapText="1" shrinkToFit="1"/>
    </xf>
    <xf numFmtId="0" fontId="19" fillId="0" borderId="0" xfId="1" applyFont="1" applyFill="1" applyAlignment="1"/>
    <xf numFmtId="0" fontId="20" fillId="0" borderId="0" xfId="2" applyFont="1" applyFill="1" applyAlignment="1"/>
    <xf numFmtId="0" fontId="20" fillId="0" borderId="8" xfId="2" applyFont="1" applyFill="1" applyBorder="1" applyAlignment="1"/>
    <xf numFmtId="164" fontId="17" fillId="0" borderId="1" xfId="1" applyNumberFormat="1" applyFont="1" applyFill="1" applyBorder="1" applyAlignment="1">
      <alignment horizontal="center"/>
    </xf>
    <xf numFmtId="0" fontId="0" fillId="0" borderId="20" xfId="1" applyFont="1" applyFill="1" applyBorder="1"/>
    <xf numFmtId="0" fontId="2" fillId="0" borderId="1" xfId="1" applyFill="1" applyBorder="1" applyAlignment="1">
      <alignment horizontal="center"/>
    </xf>
    <xf numFmtId="0" fontId="23" fillId="0" borderId="1" xfId="3" applyFont="1" applyBorder="1" applyAlignment="1">
      <alignment horizontal="center" vertical="center" wrapText="1" shrinkToFit="1"/>
    </xf>
    <xf numFmtId="2" fontId="26" fillId="0" borderId="1" xfId="3" applyNumberFormat="1" applyFont="1" applyBorder="1" applyAlignment="1">
      <alignment horizontal="center" vertical="center" wrapText="1" shrinkToFit="1"/>
    </xf>
    <xf numFmtId="0" fontId="22" fillId="0" borderId="1" xfId="3" applyFont="1" applyBorder="1" applyAlignment="1">
      <alignment horizontal="center" vertical="center" wrapText="1" shrinkToFit="1"/>
    </xf>
    <xf numFmtId="0" fontId="26" fillId="0" borderId="1" xfId="3" applyFont="1" applyBorder="1" applyAlignment="1">
      <alignment horizontal="center" vertical="center" wrapText="1" shrinkToFit="1"/>
    </xf>
    <xf numFmtId="2" fontId="22" fillId="5" borderId="1" xfId="3" applyNumberFormat="1" applyFont="1" applyFill="1" applyBorder="1" applyAlignment="1">
      <alignment horizontal="center" vertical="center" wrapText="1" shrinkToFit="1"/>
    </xf>
    <xf numFmtId="0" fontId="26" fillId="0" borderId="1" xfId="3" applyFont="1" applyBorder="1" applyAlignment="1">
      <alignment horizontal="center" vertical="center" wrapText="1" shrinkToFit="1"/>
    </xf>
    <xf numFmtId="2" fontId="24" fillId="0" borderId="1" xfId="3" applyNumberFormat="1" applyFont="1" applyBorder="1" applyAlignment="1">
      <alignment horizontal="center" vertical="center" wrapText="1" shrinkToFit="1"/>
    </xf>
    <xf numFmtId="0" fontId="23" fillId="0" borderId="33" xfId="3" applyFont="1" applyFill="1" applyBorder="1" applyAlignment="1">
      <alignment horizontal="center" vertical="center" wrapText="1" shrinkToFit="1"/>
    </xf>
    <xf numFmtId="4" fontId="26" fillId="0" borderId="1" xfId="3" applyNumberFormat="1" applyFont="1" applyBorder="1" applyAlignment="1">
      <alignment horizontal="center" vertical="center" wrapText="1" shrinkToFit="1"/>
    </xf>
    <xf numFmtId="4" fontId="22" fillId="0" borderId="1" xfId="3" applyNumberFormat="1" applyFont="1" applyBorder="1" applyAlignment="1">
      <alignment horizontal="center" vertical="center" wrapText="1" shrinkToFit="1"/>
    </xf>
    <xf numFmtId="4" fontId="22" fillId="5" borderId="1" xfId="3" applyNumberFormat="1" applyFont="1" applyFill="1" applyBorder="1" applyAlignment="1">
      <alignment horizontal="center" vertical="center" wrapText="1" shrinkToFit="1"/>
    </xf>
    <xf numFmtId="4" fontId="24" fillId="0" borderId="1" xfId="3" applyNumberFormat="1" applyFont="1" applyBorder="1" applyAlignment="1">
      <alignment horizontal="center" vertical="center" wrapText="1" shrinkToFit="1"/>
    </xf>
    <xf numFmtId="2" fontId="0" fillId="0" borderId="0" xfId="0" applyNumberFormat="1"/>
    <xf numFmtId="0" fontId="22" fillId="0" borderId="0" xfId="0" applyFont="1" applyAlignment="1">
      <alignment horizontal="center"/>
    </xf>
    <xf numFmtId="0" fontId="24" fillId="0" borderId="54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2" fontId="29" fillId="0" borderId="1" xfId="0" applyNumberFormat="1" applyFont="1" applyBorder="1" applyAlignment="1">
      <alignment horizontal="center" vertical="center" wrapText="1"/>
    </xf>
    <xf numFmtId="2" fontId="32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165" fontId="22" fillId="5" borderId="1" xfId="0" applyNumberFormat="1" applyFont="1" applyFill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4" fontId="22" fillId="5" borderId="1" xfId="0" applyNumberFormat="1" applyFont="1" applyFill="1" applyBorder="1" applyAlignment="1">
      <alignment horizontal="center"/>
    </xf>
    <xf numFmtId="2" fontId="29" fillId="0" borderId="1" xfId="0" applyNumberFormat="1" applyFont="1" applyFill="1" applyBorder="1" applyAlignment="1">
      <alignment horizontal="center"/>
    </xf>
    <xf numFmtId="0" fontId="23" fillId="0" borderId="0" xfId="0" applyFont="1" applyAlignment="1"/>
    <xf numFmtId="2" fontId="29" fillId="0" borderId="49" xfId="0" applyNumberFormat="1" applyFont="1" applyBorder="1" applyAlignment="1">
      <alignment horizontal="center" vertical="center" wrapText="1"/>
    </xf>
    <xf numFmtId="4" fontId="31" fillId="0" borderId="49" xfId="0" applyNumberFormat="1" applyFont="1" applyBorder="1" applyAlignment="1">
      <alignment horizontal="center" vertical="center" wrapText="1"/>
    </xf>
    <xf numFmtId="49" fontId="22" fillId="0" borderId="1" xfId="3" applyNumberFormat="1" applyFont="1" applyBorder="1" applyAlignment="1">
      <alignment horizontal="center" vertical="center" wrapText="1" shrinkToFit="1"/>
    </xf>
    <xf numFmtId="49" fontId="26" fillId="0" borderId="1" xfId="3" applyNumberFormat="1" applyFont="1" applyBorder="1" applyAlignment="1">
      <alignment horizontal="center" vertical="center" wrapText="1" shrinkToFit="1"/>
    </xf>
    <xf numFmtId="0" fontId="4" fillId="0" borderId="0" xfId="2" applyFill="1" applyBorder="1" applyAlignment="1">
      <alignment horizontal="center"/>
    </xf>
    <xf numFmtId="0" fontId="4" fillId="4" borderId="0" xfId="2" applyFill="1" applyBorder="1" applyAlignment="1">
      <alignment horizontal="center"/>
    </xf>
    <xf numFmtId="0" fontId="4" fillId="2" borderId="0" xfId="2" applyFill="1" applyBorder="1" applyAlignment="1">
      <alignment horizontal="center"/>
    </xf>
    <xf numFmtId="1" fontId="4" fillId="2" borderId="0" xfId="2" applyNumberFormat="1" applyFill="1" applyBorder="1" applyAlignment="1">
      <alignment horizontal="center"/>
    </xf>
    <xf numFmtId="2" fontId="4" fillId="2" borderId="0" xfId="2" applyNumberFormat="1" applyFill="1" applyBorder="1" applyAlignment="1">
      <alignment horizontal="center"/>
    </xf>
    <xf numFmtId="0" fontId="2" fillId="0" borderId="43" xfId="1" applyFill="1" applyBorder="1" applyAlignment="1">
      <alignment horizontal="center"/>
    </xf>
    <xf numFmtId="2" fontId="2" fillId="0" borderId="33" xfId="1" applyNumberFormat="1" applyFill="1" applyBorder="1" applyAlignment="1">
      <alignment horizontal="center"/>
    </xf>
    <xf numFmtId="164" fontId="2" fillId="0" borderId="35" xfId="1" applyNumberFormat="1" applyFill="1" applyBorder="1" applyAlignment="1">
      <alignment horizontal="center"/>
    </xf>
    <xf numFmtId="164" fontId="2" fillId="0" borderId="39" xfId="1" applyNumberFormat="1" applyFill="1" applyBorder="1" applyAlignment="1">
      <alignment horizontal="center"/>
    </xf>
    <xf numFmtId="164" fontId="2" fillId="0" borderId="50" xfId="1" applyNumberFormat="1" applyFill="1" applyBorder="1" applyAlignment="1">
      <alignment horizontal="center"/>
    </xf>
    <xf numFmtId="164" fontId="3" fillId="0" borderId="35" xfId="1" applyNumberFormat="1" applyFont="1" applyFill="1" applyBorder="1"/>
    <xf numFmtId="164" fontId="2" fillId="0" borderId="35" xfId="1" applyNumberFormat="1" applyFill="1" applyBorder="1"/>
    <xf numFmtId="0" fontId="2" fillId="0" borderId="49" xfId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/>
    </xf>
    <xf numFmtId="2" fontId="2" fillId="0" borderId="28" xfId="1" applyNumberFormat="1" applyFill="1" applyBorder="1" applyAlignment="1">
      <alignment horizontal="center"/>
    </xf>
    <xf numFmtId="164" fontId="2" fillId="0" borderId="51" xfId="1" applyNumberFormat="1" applyFill="1" applyBorder="1" applyAlignment="1">
      <alignment horizontal="center"/>
    </xf>
    <xf numFmtId="1" fontId="4" fillId="0" borderId="0" xfId="2" applyNumberFormat="1" applyFill="1" applyBorder="1" applyAlignment="1">
      <alignment horizontal="center"/>
    </xf>
    <xf numFmtId="2" fontId="4" fillId="0" borderId="0" xfId="2" applyNumberFormat="1" applyFill="1" applyBorder="1" applyAlignment="1">
      <alignment horizontal="center"/>
    </xf>
    <xf numFmtId="164" fontId="2" fillId="0" borderId="57" xfId="1" applyNumberFormat="1" applyFill="1" applyBorder="1" applyAlignment="1">
      <alignment horizontal="center"/>
    </xf>
    <xf numFmtId="0" fontId="8" fillId="0" borderId="45" xfId="1" applyFont="1" applyFill="1" applyBorder="1" applyAlignment="1">
      <alignment horizontal="center"/>
    </xf>
    <xf numFmtId="2" fontId="2" fillId="0" borderId="53" xfId="1" applyNumberFormat="1" applyFill="1" applyBorder="1"/>
    <xf numFmtId="0" fontId="2" fillId="0" borderId="1" xfId="1" applyFont="1" applyFill="1" applyBorder="1" applyAlignment="1">
      <alignment horizontal="right"/>
    </xf>
    <xf numFmtId="0" fontId="10" fillId="0" borderId="58" xfId="1" applyFont="1" applyFill="1" applyBorder="1" applyAlignment="1">
      <alignment horizontal="center"/>
    </xf>
    <xf numFmtId="0" fontId="10" fillId="0" borderId="45" xfId="1" applyFont="1" applyFill="1" applyBorder="1"/>
    <xf numFmtId="0" fontId="10" fillId="0" borderId="45" xfId="1" applyFont="1" applyFill="1" applyBorder="1" applyAlignment="1">
      <alignment horizontal="center"/>
    </xf>
    <xf numFmtId="0" fontId="10" fillId="0" borderId="16" xfId="1" applyFont="1" applyFill="1" applyBorder="1" applyAlignment="1">
      <alignment horizontal="center"/>
    </xf>
    <xf numFmtId="2" fontId="26" fillId="0" borderId="1" xfId="0" applyNumberFormat="1" applyFont="1" applyFill="1" applyBorder="1" applyAlignment="1">
      <alignment horizontal="center"/>
    </xf>
    <xf numFmtId="0" fontId="4" fillId="0" borderId="4" xfId="2" applyFill="1" applyBorder="1" applyAlignment="1"/>
    <xf numFmtId="0" fontId="4" fillId="0" borderId="6" xfId="2" applyFill="1" applyBorder="1" applyAlignment="1"/>
    <xf numFmtId="0" fontId="2" fillId="0" borderId="1" xfId="1" applyFill="1" applyBorder="1" applyAlignment="1">
      <alignment horizontal="center"/>
    </xf>
    <xf numFmtId="0" fontId="20" fillId="0" borderId="0" xfId="2" applyFont="1" applyFill="1" applyAlignment="1">
      <alignment horizontal="left"/>
    </xf>
    <xf numFmtId="0" fontId="19" fillId="0" borderId="0" xfId="1" applyFont="1" applyFill="1" applyAlignment="1">
      <alignment horizontal="left"/>
    </xf>
    <xf numFmtId="0" fontId="19" fillId="0" borderId="0" xfId="1" applyFont="1" applyFill="1" applyAlignment="1">
      <alignment horizontal="right" indent="1"/>
    </xf>
    <xf numFmtId="0" fontId="9" fillId="0" borderId="26" xfId="1" applyFont="1" applyFill="1" applyBorder="1" applyAlignment="1">
      <alignment horizontal="center" vertical="center" wrapText="1" shrinkToFit="1"/>
    </xf>
    <xf numFmtId="0" fontId="9" fillId="0" borderId="34" xfId="1" applyFont="1" applyFill="1" applyBorder="1" applyAlignment="1">
      <alignment horizontal="center" vertical="center" wrapText="1" shrinkToFit="1"/>
    </xf>
    <xf numFmtId="0" fontId="9" fillId="0" borderId="35" xfId="1" applyFont="1" applyFill="1" applyBorder="1" applyAlignment="1">
      <alignment horizontal="center"/>
    </xf>
    <xf numFmtId="0" fontId="9" fillId="0" borderId="34" xfId="1" applyFont="1" applyFill="1" applyBorder="1" applyAlignment="1">
      <alignment horizontal="center"/>
    </xf>
    <xf numFmtId="0" fontId="9" fillId="0" borderId="27" xfId="1" applyFont="1" applyFill="1" applyBorder="1" applyAlignment="1">
      <alignment horizontal="center"/>
    </xf>
    <xf numFmtId="0" fontId="9" fillId="0" borderId="36" xfId="1" applyFont="1" applyFill="1" applyBorder="1" applyAlignment="1">
      <alignment horizontal="center"/>
    </xf>
    <xf numFmtId="0" fontId="6" fillId="0" borderId="8" xfId="2" applyFont="1" applyFill="1" applyBorder="1" applyAlignment="1">
      <alignment horizontal="center"/>
    </xf>
    <xf numFmtId="0" fontId="6" fillId="0" borderId="42" xfId="2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2" fontId="4" fillId="2" borderId="4" xfId="2" applyNumberFormat="1" applyFill="1" applyBorder="1" applyAlignment="1">
      <alignment horizontal="center"/>
    </xf>
    <xf numFmtId="2" fontId="4" fillId="2" borderId="6" xfId="2" applyNumberForma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164" fontId="5" fillId="0" borderId="37" xfId="1" applyNumberFormat="1" applyFont="1" applyFill="1" applyBorder="1" applyAlignment="1">
      <alignment horizontal="center"/>
    </xf>
    <xf numFmtId="164" fontId="5" fillId="0" borderId="38" xfId="1" applyNumberFormat="1" applyFont="1" applyFill="1" applyBorder="1" applyAlignment="1">
      <alignment horizontal="center"/>
    </xf>
    <xf numFmtId="164" fontId="5" fillId="0" borderId="39" xfId="1" applyNumberFormat="1" applyFont="1" applyFill="1" applyBorder="1" applyAlignment="1">
      <alignment horizontal="center"/>
    </xf>
    <xf numFmtId="164" fontId="11" fillId="0" borderId="39" xfId="1" applyNumberFormat="1" applyFont="1" applyFill="1" applyBorder="1" applyAlignment="1">
      <alignment horizontal="center"/>
    </xf>
    <xf numFmtId="164" fontId="11" fillId="0" borderId="40" xfId="1" applyNumberFormat="1" applyFont="1" applyFill="1" applyBorder="1" applyAlignment="1">
      <alignment horizontal="center"/>
    </xf>
    <xf numFmtId="164" fontId="11" fillId="0" borderId="41" xfId="1" applyNumberFormat="1" applyFont="1" applyFill="1" applyBorder="1" applyAlignment="1">
      <alignment horizontal="center"/>
    </xf>
    <xf numFmtId="0" fontId="5" fillId="0" borderId="4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/>
    </xf>
    <xf numFmtId="0" fontId="5" fillId="0" borderId="6" xfId="1" applyFont="1" applyFill="1" applyBorder="1" applyAlignment="1">
      <alignment horizontal="left"/>
    </xf>
    <xf numFmtId="0" fontId="17" fillId="0" borderId="0" xfId="1" applyFont="1" applyFill="1" applyAlignment="1">
      <alignment horizontal="center"/>
    </xf>
    <xf numFmtId="0" fontId="6" fillId="0" borderId="4" xfId="2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43" xfId="2" applyFont="1" applyFill="1" applyBorder="1" applyAlignment="1">
      <alignment horizontal="center"/>
    </xf>
    <xf numFmtId="0" fontId="4" fillId="0" borderId="4" xfId="2" applyFill="1" applyBorder="1" applyAlignment="1">
      <alignment horizontal="center"/>
    </xf>
    <xf numFmtId="0" fontId="4" fillId="0" borderId="6" xfId="2" applyFill="1" applyBorder="1" applyAlignment="1">
      <alignment horizontal="center"/>
    </xf>
    <xf numFmtId="0" fontId="4" fillId="4" borderId="4" xfId="2" applyFill="1" applyBorder="1" applyAlignment="1">
      <alignment horizontal="center"/>
    </xf>
    <xf numFmtId="0" fontId="4" fillId="4" borderId="6" xfId="2" applyFill="1" applyBorder="1" applyAlignment="1">
      <alignment horizontal="center"/>
    </xf>
    <xf numFmtId="0" fontId="4" fillId="2" borderId="4" xfId="2" applyFill="1" applyBorder="1" applyAlignment="1">
      <alignment horizontal="center"/>
    </xf>
    <xf numFmtId="0" fontId="4" fillId="2" borderId="6" xfId="2" applyFill="1" applyBorder="1" applyAlignment="1">
      <alignment horizontal="center"/>
    </xf>
    <xf numFmtId="1" fontId="4" fillId="2" borderId="4" xfId="2" applyNumberFormat="1" applyFill="1" applyBorder="1" applyAlignment="1">
      <alignment horizontal="center"/>
    </xf>
    <xf numFmtId="1" fontId="4" fillId="2" borderId="6" xfId="2" applyNumberForma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2" fillId="0" borderId="1" xfId="0" applyFont="1" applyBorder="1" applyAlignment="1"/>
    <xf numFmtId="0" fontId="2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6" fillId="0" borderId="1" xfId="0" applyFont="1" applyBorder="1" applyAlignment="1"/>
    <xf numFmtId="0" fontId="0" fillId="0" borderId="1" xfId="0" applyBorder="1" applyAlignment="1"/>
    <xf numFmtId="0" fontId="2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/>
    <xf numFmtId="0" fontId="0" fillId="0" borderId="0" xfId="0" applyAlignment="1"/>
    <xf numFmtId="0" fontId="22" fillId="0" borderId="0" xfId="0" applyFont="1" applyAlignment="1"/>
    <xf numFmtId="0" fontId="24" fillId="0" borderId="54" xfId="0" applyFont="1" applyBorder="1" applyAlignment="1">
      <alignment horizontal="center"/>
    </xf>
    <xf numFmtId="0" fontId="24" fillId="0" borderId="40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9" fillId="0" borderId="25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3" fillId="0" borderId="4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4" fontId="31" fillId="0" borderId="47" xfId="0" applyNumberFormat="1" applyFont="1" applyBorder="1" applyAlignment="1">
      <alignment horizontal="center" vertical="center" wrapText="1"/>
    </xf>
    <xf numFmtId="2" fontId="29" fillId="0" borderId="47" xfId="0" applyNumberFormat="1" applyFont="1" applyBorder="1" applyAlignment="1">
      <alignment horizontal="center" vertical="center" wrapText="1"/>
    </xf>
    <xf numFmtId="2" fontId="29" fillId="0" borderId="49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 wrapText="1" shrinkToFit="1"/>
    </xf>
    <xf numFmtId="4" fontId="26" fillId="0" borderId="1" xfId="3" applyNumberFormat="1" applyFont="1" applyBorder="1" applyAlignment="1">
      <alignment horizontal="center" vertical="center" wrapText="1" shrinkToFit="1"/>
    </xf>
    <xf numFmtId="4" fontId="22" fillId="0" borderId="1" xfId="3" applyNumberFormat="1" applyFont="1" applyBorder="1" applyAlignment="1">
      <alignment horizontal="center" vertical="center" wrapText="1" shrinkToFit="1"/>
    </xf>
    <xf numFmtId="4" fontId="24" fillId="0" borderId="1" xfId="3" applyNumberFormat="1" applyFont="1" applyBorder="1" applyAlignment="1">
      <alignment horizontal="center" vertical="center" wrapText="1" shrinkToFit="1"/>
    </xf>
    <xf numFmtId="4" fontId="25" fillId="0" borderId="1" xfId="3" applyNumberFormat="1" applyFont="1" applyBorder="1" applyAlignment="1">
      <alignment horizontal="center" vertical="center" wrapText="1" shrinkToFit="1"/>
    </xf>
    <xf numFmtId="0" fontId="24" fillId="0" borderId="1" xfId="3" applyFont="1" applyBorder="1" applyAlignment="1">
      <alignment horizontal="center" vertical="center" wrapText="1" shrinkToFit="1"/>
    </xf>
    <xf numFmtId="0" fontId="25" fillId="0" borderId="1" xfId="3" applyFont="1" applyBorder="1" applyAlignment="1">
      <alignment horizontal="center" vertical="center" wrapText="1" shrinkToFit="1"/>
    </xf>
    <xf numFmtId="0" fontId="26" fillId="0" borderId="1" xfId="3" applyFont="1" applyBorder="1" applyAlignment="1">
      <alignment horizontal="center" vertical="center" wrapText="1" shrinkToFit="1"/>
    </xf>
    <xf numFmtId="2" fontId="4" fillId="0" borderId="4" xfId="2" applyNumberFormat="1" applyFill="1" applyBorder="1" applyAlignment="1">
      <alignment horizontal="center"/>
    </xf>
    <xf numFmtId="2" fontId="4" fillId="0" borderId="6" xfId="2" applyNumberFormat="1" applyFill="1" applyBorder="1" applyAlignment="1">
      <alignment horizontal="center"/>
    </xf>
    <xf numFmtId="1" fontId="4" fillId="0" borderId="4" xfId="2" applyNumberFormat="1" applyFill="1" applyBorder="1" applyAlignment="1">
      <alignment horizontal="center"/>
    </xf>
    <xf numFmtId="1" fontId="4" fillId="0" borderId="6" xfId="2" applyNumberForma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26" fillId="0" borderId="1" xfId="0" applyNumberFormat="1" applyFont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0" fontId="19" fillId="0" borderId="8" xfId="1" applyFont="1" applyFill="1" applyBorder="1" applyAlignment="1">
      <alignment horizontal="center"/>
    </xf>
    <xf numFmtId="0" fontId="19" fillId="0" borderId="0" xfId="1" applyFont="1" applyFill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2" fillId="0" borderId="4" xfId="1" applyFill="1" applyBorder="1" applyAlignment="1">
      <alignment horizontal="center"/>
    </xf>
    <xf numFmtId="0" fontId="2" fillId="0" borderId="5" xfId="1" applyFill="1" applyBorder="1" applyAlignment="1">
      <alignment horizontal="center"/>
    </xf>
    <xf numFmtId="2" fontId="17" fillId="0" borderId="39" xfId="1" applyNumberFormat="1" applyFont="1" applyFill="1" applyBorder="1" applyAlignment="1">
      <alignment horizontal="center"/>
    </xf>
    <xf numFmtId="2" fontId="17" fillId="0" borderId="40" xfId="1" applyNumberFormat="1" applyFont="1" applyFill="1" applyBorder="1" applyAlignment="1">
      <alignment horizontal="center"/>
    </xf>
    <xf numFmtId="2" fontId="17" fillId="0" borderId="38" xfId="1" applyNumberFormat="1" applyFont="1" applyFill="1" applyBorder="1" applyAlignment="1">
      <alignment horizontal="center"/>
    </xf>
    <xf numFmtId="0" fontId="9" fillId="0" borderId="27" xfId="1" applyFont="1" applyFill="1" applyBorder="1" applyAlignment="1">
      <alignment horizontal="center" vertical="center" wrapText="1" shrinkToFit="1"/>
    </xf>
    <xf numFmtId="0" fontId="9" fillId="0" borderId="36" xfId="1" applyFont="1" applyFill="1" applyBorder="1" applyAlignment="1">
      <alignment horizontal="center" vertical="center" wrapText="1" shrinkToFit="1"/>
    </xf>
    <xf numFmtId="2" fontId="17" fillId="0" borderId="41" xfId="1" applyNumberFormat="1" applyFont="1" applyFill="1" applyBorder="1" applyAlignment="1">
      <alignment horizontal="center"/>
    </xf>
    <xf numFmtId="0" fontId="2" fillId="0" borderId="2" xfId="1" applyFill="1" applyBorder="1" applyAlignment="1">
      <alignment horizontal="center" vertical="center" wrapText="1" shrinkToFit="1"/>
    </xf>
    <xf numFmtId="0" fontId="2" fillId="0" borderId="7" xfId="1" applyFill="1" applyBorder="1" applyAlignment="1">
      <alignment horizontal="center" vertical="center" wrapText="1" shrinkToFit="1"/>
    </xf>
    <xf numFmtId="0" fontId="2" fillId="0" borderId="9" xfId="1" applyFill="1" applyBorder="1" applyAlignment="1">
      <alignment horizontal="center" vertical="center" wrapText="1" shrinkToFit="1"/>
    </xf>
    <xf numFmtId="0" fontId="21" fillId="0" borderId="10" xfId="1" applyFont="1" applyFill="1" applyBorder="1" applyAlignment="1">
      <alignment horizontal="center"/>
    </xf>
    <xf numFmtId="0" fontId="21" fillId="0" borderId="56" xfId="1" applyFont="1" applyFill="1" applyBorder="1" applyAlignment="1">
      <alignment horizontal="center"/>
    </xf>
    <xf numFmtId="0" fontId="21" fillId="0" borderId="59" xfId="1" applyFont="1" applyFill="1" applyBorder="1" applyAlignment="1">
      <alignment horizontal="center"/>
    </xf>
    <xf numFmtId="0" fontId="3" fillId="0" borderId="48" xfId="1" applyFont="1" applyFill="1" applyBorder="1" applyAlignment="1">
      <alignment horizontal="center"/>
    </xf>
    <xf numFmtId="4" fontId="22" fillId="0" borderId="1" xfId="0" applyNumberFormat="1" applyFont="1" applyBorder="1" applyAlignment="1">
      <alignment horizontal="center" vertical="center" wrapText="1" shrinkToFit="1"/>
    </xf>
    <xf numFmtId="0" fontId="22" fillId="0" borderId="1" xfId="0" applyFont="1" applyBorder="1" applyAlignment="1">
      <alignment horizontal="center" vertical="center" wrapText="1" shrinkToFit="1"/>
    </xf>
    <xf numFmtId="0" fontId="4" fillId="0" borderId="0" xfId="2" applyNumberFormat="1" applyFill="1" applyBorder="1" applyAlignment="1">
      <alignment horizontal="center"/>
    </xf>
    <xf numFmtId="0" fontId="4" fillId="4" borderId="0" xfId="2" applyNumberFormat="1" applyFill="1" applyBorder="1" applyAlignment="1">
      <alignment horizontal="center"/>
    </xf>
    <xf numFmtId="0" fontId="4" fillId="2" borderId="0" xfId="2" applyNumberFormat="1" applyFill="1" applyBorder="1" applyAlignment="1">
      <alignment horizontal="center"/>
    </xf>
    <xf numFmtId="0" fontId="2" fillId="0" borderId="43" xfId="1" applyNumberFormat="1" applyFill="1" applyBorder="1" applyAlignment="1">
      <alignment horizontal="center"/>
    </xf>
    <xf numFmtId="0" fontId="2" fillId="0" borderId="7" xfId="1" applyNumberFormat="1" applyFill="1" applyBorder="1" applyAlignment="1">
      <alignment horizontal="center"/>
    </xf>
    <xf numFmtId="0" fontId="2" fillId="0" borderId="0" xfId="1" applyNumberFormat="1" applyFill="1" applyAlignment="1">
      <alignment horizontal="center"/>
    </xf>
    <xf numFmtId="0" fontId="9" fillId="0" borderId="0" xfId="1" applyNumberFormat="1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center"/>
    </xf>
    <xf numFmtId="0" fontId="2" fillId="0" borderId="0" xfId="1" applyNumberForma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4" fillId="0" borderId="0" xfId="2" applyNumberFormat="1" applyFill="1"/>
    <xf numFmtId="0" fontId="2" fillId="0" borderId="1" xfId="1" applyNumberForma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2" fillId="0" borderId="1" xfId="4" applyNumberFormat="1" applyFont="1" applyFill="1" applyBorder="1" applyAlignment="1">
      <alignment horizontal="center"/>
    </xf>
    <xf numFmtId="0" fontId="3" fillId="0" borderId="1" xfId="1" applyFont="1" applyFill="1" applyBorder="1"/>
    <xf numFmtId="1" fontId="3" fillId="0" borderId="1" xfId="1" applyNumberFormat="1" applyFont="1" applyFill="1" applyBorder="1"/>
    <xf numFmtId="164" fontId="3" fillId="0" borderId="1" xfId="1" applyNumberFormat="1" applyFont="1" applyFill="1" applyBorder="1"/>
    <xf numFmtId="0" fontId="3" fillId="0" borderId="1" xfId="4" applyNumberFormat="1" applyFont="1" applyFill="1" applyBorder="1"/>
    <xf numFmtId="164" fontId="2" fillId="0" borderId="1" xfId="1" applyNumberFormat="1" applyFill="1" applyBorder="1"/>
    <xf numFmtId="0" fontId="2" fillId="0" borderId="1" xfId="4" applyNumberFormat="1" applyFont="1" applyFill="1" applyBorder="1"/>
    <xf numFmtId="2" fontId="3" fillId="2" borderId="1" xfId="1" applyNumberFormat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2" fontId="2" fillId="0" borderId="18" xfId="1" applyNumberFormat="1" applyFont="1" applyFill="1" applyBorder="1" applyAlignment="1">
      <alignment horizontal="center"/>
    </xf>
    <xf numFmtId="0" fontId="2" fillId="0" borderId="18" xfId="1" applyNumberFormat="1" applyFill="1" applyBorder="1" applyAlignment="1">
      <alignment horizontal="center"/>
    </xf>
    <xf numFmtId="0" fontId="2" fillId="0" borderId="19" xfId="1" applyFill="1" applyBorder="1"/>
    <xf numFmtId="0" fontId="3" fillId="0" borderId="20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0" borderId="20" xfId="1" applyFont="1" applyFill="1" applyBorder="1"/>
    <xf numFmtId="0" fontId="3" fillId="4" borderId="20" xfId="1" applyFont="1" applyFill="1" applyBorder="1"/>
    <xf numFmtId="0" fontId="2" fillId="4" borderId="20" xfId="1" applyFont="1" applyFill="1" applyBorder="1" applyAlignment="1">
      <alignment horizontal="right"/>
    </xf>
    <xf numFmtId="0" fontId="3" fillId="0" borderId="20" xfId="1" applyFont="1" applyFill="1" applyBorder="1" applyAlignment="1">
      <alignment horizontal="left"/>
    </xf>
    <xf numFmtId="0" fontId="3" fillId="0" borderId="22" xfId="1" applyFont="1" applyFill="1" applyBorder="1" applyAlignment="1">
      <alignment horizontal="left"/>
    </xf>
    <xf numFmtId="0" fontId="2" fillId="0" borderId="23" xfId="1" applyNumberFormat="1" applyFill="1" applyBorder="1" applyAlignment="1">
      <alignment horizontal="center"/>
    </xf>
    <xf numFmtId="2" fontId="3" fillId="0" borderId="23" xfId="1" applyNumberFormat="1" applyFont="1" applyFill="1" applyBorder="1" applyAlignment="1">
      <alignment horizontal="center"/>
    </xf>
    <xf numFmtId="1" fontId="2" fillId="0" borderId="39" xfId="1" applyNumberFormat="1" applyFill="1" applyBorder="1" applyAlignment="1">
      <alignment horizontal="center"/>
    </xf>
    <xf numFmtId="1" fontId="2" fillId="0" borderId="50" xfId="1" applyNumberFormat="1" applyFill="1" applyBorder="1" applyAlignment="1">
      <alignment horizontal="center"/>
    </xf>
    <xf numFmtId="1" fontId="3" fillId="0" borderId="35" xfId="1" applyNumberFormat="1" applyFont="1" applyFill="1" applyBorder="1"/>
    <xf numFmtId="1" fontId="2" fillId="0" borderId="35" xfId="1" applyNumberFormat="1" applyFill="1" applyBorder="1" applyAlignment="1">
      <alignment horizontal="center"/>
    </xf>
    <xf numFmtId="1" fontId="2" fillId="0" borderId="1" xfId="1" applyNumberFormat="1" applyFill="1" applyBorder="1"/>
    <xf numFmtId="1" fontId="2" fillId="0" borderId="53" xfId="1" applyNumberFormat="1" applyFill="1" applyBorder="1"/>
  </cellXfs>
  <cellStyles count="5">
    <cellStyle name="Обычный" xfId="0" builtinId="0"/>
    <cellStyle name="Обычный 2" xfId="3"/>
    <cellStyle name="Обычный_Тех карти. Finpla~1" xfId="1"/>
    <cellStyle name="Обычный_Техкарта РГК" xfId="2"/>
    <cellStyle name="Финансовый" xfId="4" builtinId="3"/>
  </cellStyles>
  <dxfs count="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ropbox\&#1040;&#1076;&#1084;&#1080;&#1085;&#1080;&#1089;&#1090;&#1088;&#1072;&#1094;&#1080;&#1103;\&#1055;&#1083;&#1072;&#1085;&#1086;&#1074;&#1080;&#1081;\&#1055;&#1088;&#1086;&#1075;&#1088;&#1072;&#1084;&#1084;&#1099;\&#1058;&#1077;&#1093;&#1082;&#1072;&#1088;&#1090;&#1072;%202017%20%20&#1073;&#1077;&#1079;%20&#1092;&#1086;&#1088;&#1084;&#1091;&#108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7;&#1072;&#1087;&#1080;&#1090;%20&#1055;&#1055;%20&#1085;&#1072;&#1095;&#1072;&#1083;&#1100;&#1085;&#1080;&#1082;\&#1058;&#1077;&#1093;&#1082;&#1072;&#1088;&#1090;&#1072;%202017%20&#1096;&#1072;&#1073;&#1083;&#1086;&#1085;&#1110;%20&#1073;&#1077;&#1079;%20&#1092;&#1086;&#1088;&#1084;&#1091;&#1083;\&#1056;&#104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7;&#1072;&#1087;&#1080;&#1090;%20&#1055;&#1055;%20&#1085;&#1072;&#1095;&#1072;&#1083;&#1100;&#1085;&#1080;&#1082;\&#1058;&#1077;&#1093;&#1082;&#1072;&#1088;&#1090;&#1072;%202017%20&#1096;&#1072;&#1073;&#1083;&#1086;&#1085;&#1110;%20&#1073;&#1077;&#1079;%20&#1092;&#1086;&#1088;&#1084;&#1091;&#1083;\&#1084;&#1086;&#1083;&#1086;&#1076;&#1085;&#1103;&#108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xxx\Downloads\Telegram%20Desktop\&#1058;&#1077;&#1093;&#1082;&#1072;&#1088;&#1090;&#1072;%202017%20(4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kstop\&#1058;&#1077;&#1093;&#1082;&#1072;&#1088;&#1090;&#1080;%20&#1073;&#1083;&#1072;&#1085;&#1082;&#1080;\1011%20&#1047;&#1072;&#1088;&#1091;&#1076;.%20&#1047;&#1072;&#1082;&#1088;.%208,%2010,5,%202,9%20&#1088;&#1075;&#1082;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7"/>
      <sheetName val="Лісор_кв"/>
      <sheetName val="Нормы"/>
      <sheetName val="ВідРобіт"/>
      <sheetName val="Оглавление"/>
      <sheetName val="КоэфРГК"/>
      <sheetName val="Акти"/>
      <sheetName val="Щоденики"/>
      <sheetName val="Таблица"/>
      <sheetName val="Диаметры"/>
      <sheetName val="Сорт"/>
      <sheetName val="Сортимент"/>
      <sheetName val="Месяца"/>
      <sheetName val="Назва Рубки"/>
      <sheetName val="ДЛГ"/>
      <sheetName val="Мастера"/>
      <sheetName val="Виконавец"/>
      <sheetName val="Лісництва"/>
      <sheetName val="Шаблон"/>
      <sheetName val="TDSheet"/>
      <sheetName val="Техкарты"/>
      <sheetName val="Лист2"/>
      <sheetName val="КоєфМолодняк"/>
      <sheetName val="РГК (2)"/>
      <sheetName val="РГК (3)"/>
      <sheetName val="Тарифи"/>
      <sheetName val="Константы"/>
      <sheetName val="Расчет"/>
      <sheetName val="РасчетТбл"/>
      <sheetName val="Молодняк"/>
      <sheetName val="РГК"/>
      <sheetName val="РД"/>
      <sheetName val="Породы"/>
      <sheetName val="comandbars"/>
      <sheetName val="ЛистМеню"/>
      <sheetName val="Помощь"/>
      <sheetName val="Порода"/>
      <sheetName val="Коєфициент"/>
      <sheetName val="ВидиРобітКоэф"/>
      <sheetName val="ВидиРобітТабл"/>
      <sheetName val="ЗД_ХМ"/>
      <sheetName val="ЗД_ТП"/>
      <sheetName val="ЗГ_ХМ"/>
      <sheetName val="ЗГ_ТП"/>
      <sheetName val="ЗС_ХМ"/>
      <sheetName val="ЗС_ТП"/>
      <sheetName val="РХ_ХМ_1"/>
      <sheetName val="РХ_ТП_1"/>
      <sheetName val="РХ_ХМ_3"/>
      <sheetName val="РХ_ТП_3"/>
      <sheetName val="ЗР_ХМ"/>
      <sheetName val="ЗР_ТП"/>
      <sheetName val="Тенде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ОСВ</v>
          </cell>
        </row>
        <row r="3">
          <cell r="A3" t="str">
            <v>ПРЧ</v>
          </cell>
        </row>
        <row r="4">
          <cell r="A4" t="str">
            <v>ПРЖ</v>
          </cell>
        </row>
        <row r="5">
          <cell r="A5" t="str">
            <v>ПРХ</v>
          </cell>
        </row>
        <row r="6">
          <cell r="A6" t="str">
            <v>СРВ</v>
          </cell>
        </row>
        <row r="7">
          <cell r="A7" t="str">
            <v>СРС</v>
          </cell>
        </row>
        <row r="8">
          <cell r="A8" t="str">
            <v>ЛД</v>
          </cell>
        </row>
        <row r="9">
          <cell r="A9" t="str">
            <v>РР</v>
          </cell>
        </row>
        <row r="10">
          <cell r="A10" t="str">
            <v>РКП</v>
          </cell>
        </row>
        <row r="11">
          <cell r="A11" t="str">
            <v>РППр</v>
          </cell>
        </row>
        <row r="12">
          <cell r="A12" t="str">
            <v>ІншіПов</v>
          </cell>
        </row>
        <row r="13">
          <cell r="A13" t="str">
            <v>ІншіНеПов</v>
          </cell>
        </row>
        <row r="14">
          <cell r="A14" t="str">
            <v>ОПЗ</v>
          </cell>
        </row>
        <row r="15">
          <cell r="A15" t="str">
            <v>РГК</v>
          </cell>
        </row>
        <row r="16">
          <cell r="A16" t="str">
            <v>РМД</v>
          </cell>
        </row>
        <row r="17">
          <cell r="A17" t="str">
            <v>СЛР</v>
          </cell>
        </row>
      </sheetData>
      <sheetData sheetId="14" refreshError="1"/>
      <sheetData sheetId="15" refreshError="1"/>
      <sheetData sheetId="16" refreshError="1"/>
      <sheetData sheetId="17" refreshError="1">
        <row r="1">
          <cell r="A1" t="str">
            <v>Группа</v>
          </cell>
        </row>
        <row r="2">
          <cell r="B2" t="str">
            <v>Катеринопільське</v>
          </cell>
          <cell r="C2">
            <v>1</v>
          </cell>
          <cell r="D2" t="str">
            <v>Кат</v>
          </cell>
        </row>
        <row r="3">
          <cell r="B3" t="str">
            <v>Козачанське</v>
          </cell>
          <cell r="C3">
            <v>1</v>
          </cell>
          <cell r="D3" t="str">
            <v>Коз</v>
          </cell>
        </row>
        <row r="4">
          <cell r="B4" t="str">
            <v>Вільхівецьке</v>
          </cell>
          <cell r="C4">
            <v>11</v>
          </cell>
          <cell r="D4" t="str">
            <v>Віл</v>
          </cell>
        </row>
        <row r="5">
          <cell r="B5" t="str">
            <v>Пехівське</v>
          </cell>
          <cell r="C5">
            <v>1</v>
          </cell>
          <cell r="D5" t="str">
            <v>Пех</v>
          </cell>
        </row>
        <row r="6">
          <cell r="B6" t="str">
            <v>Хлипнівське</v>
          </cell>
          <cell r="C6">
            <v>9</v>
          </cell>
          <cell r="D6" t="str">
            <v>Хл</v>
          </cell>
        </row>
        <row r="7">
          <cell r="B7" t="str">
            <v>Шполянське</v>
          </cell>
          <cell r="C7">
            <v>14</v>
          </cell>
          <cell r="D7" t="str">
            <v>Шп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2">
          <cell r="B2">
            <v>0.88</v>
          </cell>
        </row>
        <row r="6">
          <cell r="B6">
            <v>42736</v>
          </cell>
        </row>
        <row r="97">
          <cell r="B97">
            <v>1.05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>
        <row r="2">
          <cell r="A2" t="str">
            <v>Дуб</v>
          </cell>
        </row>
        <row r="3">
          <cell r="A3" t="str">
            <v>Ясень</v>
          </cell>
        </row>
        <row r="4">
          <cell r="A4" t="str">
            <v>Граб</v>
          </cell>
        </row>
        <row r="5">
          <cell r="A5" t="str">
            <v>Клен</v>
          </cell>
        </row>
        <row r="6">
          <cell r="A6" t="str">
            <v>Береза</v>
          </cell>
        </row>
        <row r="7">
          <cell r="A7" t="str">
            <v>Сосна</v>
          </cell>
        </row>
        <row r="8">
          <cell r="A8" t="str">
            <v>Вільха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Д"/>
    </sheetNames>
    <sheetDataSet>
      <sheetData sheetId="0">
        <row r="71">
          <cell r="O71">
            <v>5894.85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лодняк"/>
    </sheetNames>
    <sheetDataSet>
      <sheetData sheetId="0">
        <row r="67">
          <cell r="W67">
            <v>32760.77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7"/>
      <sheetName val="Лісор_кв"/>
      <sheetName val="Нормы"/>
      <sheetName val="ВідРобіт"/>
      <sheetName val="Оглавление"/>
      <sheetName val="КоэфРГК"/>
      <sheetName val="Акти"/>
      <sheetName val="Щоденики"/>
      <sheetName val="Таблица"/>
      <sheetName val="Диаметры"/>
      <sheetName val="Сорт"/>
      <sheetName val="Сортимент"/>
      <sheetName val="Месяца"/>
      <sheetName val="Назва Рубки"/>
      <sheetName val="ДЛГ"/>
      <sheetName val="Мастера"/>
      <sheetName val="Виконавец"/>
      <sheetName val="Лісництва"/>
      <sheetName val="Шаблон"/>
      <sheetName val="TDSheet"/>
      <sheetName val="Техкарты"/>
      <sheetName val="Лист2"/>
      <sheetName val="КоєфМолодняк"/>
      <sheetName val="РГК (2)"/>
      <sheetName val="РГК (3)"/>
      <sheetName val="Тарифи"/>
      <sheetName val="Константы"/>
      <sheetName val="Расчет"/>
      <sheetName val="РасчетТбл"/>
      <sheetName val="Молодняк"/>
      <sheetName val="РГК"/>
      <sheetName val="РД"/>
      <sheetName val="Породы"/>
      <sheetName val="comandbars"/>
      <sheetName val="ЛистМеню"/>
      <sheetName val="Помощь"/>
      <sheetName val="Порода"/>
      <sheetName val="Коєфициент"/>
      <sheetName val="ВидиРобітКоэф"/>
      <sheetName val="ВидиРобітТабл"/>
      <sheetName val="ЗД_ХМ"/>
      <sheetName val="ЗД_ТП"/>
      <sheetName val="ЗГ_ХМ"/>
      <sheetName val="ЗГ_ТП"/>
      <sheetName val="ЗС_ХМ"/>
      <sheetName val="ЗС_ТП"/>
      <sheetName val="РХ_ХМ_1"/>
      <sheetName val="РХ_ТП_1"/>
      <sheetName val="РХ_ХМ_3"/>
      <sheetName val="РХ_ТП_3"/>
      <sheetName val="ЗР_ХМ"/>
      <sheetName val="ЗР_ТП"/>
      <sheetName val="Тенде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РГК</v>
          </cell>
        </row>
        <row r="3">
          <cell r="B3" t="str">
            <v>РД</v>
          </cell>
        </row>
        <row r="4">
          <cell r="B4" t="str">
            <v>Молодняк</v>
          </cell>
        </row>
      </sheetData>
      <sheetData sheetId="14"/>
      <sheetData sheetId="15"/>
      <sheetData sheetId="16"/>
      <sheetData sheetId="17">
        <row r="2">
          <cell r="B2" t="str">
            <v>Катеринопільське</v>
          </cell>
        </row>
        <row r="3">
          <cell r="B3" t="str">
            <v>Козачанське</v>
          </cell>
        </row>
        <row r="4">
          <cell r="B4" t="str">
            <v>Вільхівецьке</v>
          </cell>
        </row>
        <row r="5">
          <cell r="B5" t="str">
            <v>Пехівське</v>
          </cell>
        </row>
        <row r="6">
          <cell r="B6" t="str">
            <v>Хлипнівське</v>
          </cell>
        </row>
        <row r="7">
          <cell r="B7" t="str">
            <v>Шполянське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5">
          <cell r="B5" t="str">
            <v>Важкі</v>
          </cell>
          <cell r="C5" t="str">
            <v>Нормальні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2">
          <cell r="A2">
            <v>1</v>
          </cell>
          <cell r="B2" t="str">
            <v>РД</v>
          </cell>
          <cell r="C2">
            <v>1.2</v>
          </cell>
          <cell r="F2">
            <v>0</v>
          </cell>
          <cell r="G2">
            <v>1</v>
          </cell>
        </row>
        <row r="3">
          <cell r="A3">
            <v>2</v>
          </cell>
          <cell r="B3" t="str">
            <v>РД</v>
          </cell>
          <cell r="C3">
            <v>1.1000000000000001</v>
          </cell>
          <cell r="F3">
            <v>1</v>
          </cell>
          <cell r="G3">
            <v>1</v>
          </cell>
        </row>
        <row r="4">
          <cell r="A4">
            <v>3</v>
          </cell>
          <cell r="B4" t="str">
            <v>РД</v>
          </cell>
          <cell r="C4">
            <v>1</v>
          </cell>
          <cell r="F4">
            <v>2</v>
          </cell>
          <cell r="G4">
            <v>1</v>
          </cell>
        </row>
        <row r="5">
          <cell r="A5">
            <v>4</v>
          </cell>
          <cell r="B5" t="str">
            <v>РД</v>
          </cell>
          <cell r="C5">
            <v>0.9</v>
          </cell>
          <cell r="F5">
            <v>3</v>
          </cell>
          <cell r="G5">
            <v>0.79</v>
          </cell>
        </row>
        <row r="6">
          <cell r="A6">
            <v>5</v>
          </cell>
          <cell r="B6" t="str">
            <v>РД</v>
          </cell>
          <cell r="C6">
            <v>0.8</v>
          </cell>
          <cell r="F6">
            <v>4</v>
          </cell>
          <cell r="G6">
            <v>0.9</v>
          </cell>
        </row>
        <row r="7">
          <cell r="A7">
            <v>1</v>
          </cell>
          <cell r="B7" t="str">
            <v>РГК</v>
          </cell>
          <cell r="C7">
            <v>1.2</v>
          </cell>
        </row>
        <row r="8">
          <cell r="A8">
            <v>2</v>
          </cell>
          <cell r="B8" t="str">
            <v>РГК</v>
          </cell>
          <cell r="C8">
            <v>1.1000000000000001</v>
          </cell>
        </row>
        <row r="9">
          <cell r="A9">
            <v>3</v>
          </cell>
          <cell r="B9" t="str">
            <v>РГК</v>
          </cell>
          <cell r="C9">
            <v>1</v>
          </cell>
        </row>
        <row r="10">
          <cell r="A10">
            <v>4</v>
          </cell>
          <cell r="B10" t="str">
            <v>РГК</v>
          </cell>
          <cell r="C10">
            <v>0.9</v>
          </cell>
        </row>
        <row r="11">
          <cell r="A11">
            <v>5</v>
          </cell>
          <cell r="B11" t="str">
            <v>РГК</v>
          </cell>
          <cell r="C11">
            <v>0.8</v>
          </cell>
        </row>
        <row r="12">
          <cell r="A12">
            <v>1</v>
          </cell>
          <cell r="B12" t="str">
            <v>ПРХ</v>
          </cell>
          <cell r="C12">
            <v>1.2</v>
          </cell>
        </row>
        <row r="13">
          <cell r="A13">
            <v>2</v>
          </cell>
          <cell r="B13" t="str">
            <v>ПРХ</v>
          </cell>
          <cell r="C13">
            <v>1.1000000000000001</v>
          </cell>
        </row>
        <row r="14">
          <cell r="A14">
            <v>3</v>
          </cell>
          <cell r="B14" t="str">
            <v>ПРХ</v>
          </cell>
          <cell r="C14">
            <v>1</v>
          </cell>
        </row>
        <row r="15">
          <cell r="A15">
            <v>4</v>
          </cell>
          <cell r="B15" t="str">
            <v>ПРХ</v>
          </cell>
          <cell r="C15">
            <v>0.9</v>
          </cell>
        </row>
        <row r="16">
          <cell r="A16">
            <v>5</v>
          </cell>
          <cell r="B16" t="str">
            <v>ПРХ</v>
          </cell>
          <cell r="C16">
            <v>0.8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говір"/>
      <sheetName val="тех.завд."/>
      <sheetName val="кошторис"/>
      <sheetName val="протокол"/>
      <sheetName val="акт"/>
      <sheetName val="акт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O71"/>
  <sheetViews>
    <sheetView topLeftCell="A7" zoomScale="75" zoomScaleNormal="75" workbookViewId="0">
      <selection activeCell="L18" sqref="L18:N18"/>
    </sheetView>
  </sheetViews>
  <sheetFormatPr defaultColWidth="9.109375" defaultRowHeight="13.2" x14ac:dyDescent="0.25"/>
  <cols>
    <col min="1" max="1" width="71.88671875" style="3" customWidth="1"/>
    <col min="2" max="4" width="11.109375" style="3" customWidth="1"/>
    <col min="5" max="5" width="9.109375" style="3"/>
    <col min="6" max="6" width="13.109375" style="3" customWidth="1"/>
    <col min="7" max="7" width="13" style="3" customWidth="1"/>
    <col min="8" max="8" width="13.33203125" style="3" customWidth="1"/>
    <col min="9" max="9" width="10.5546875" style="3" customWidth="1"/>
    <col min="10" max="10" width="11.5546875" style="3" customWidth="1"/>
    <col min="11" max="11" width="11.5546875" style="341" customWidth="1"/>
    <col min="12" max="12" width="11.5546875" style="3" customWidth="1"/>
    <col min="13" max="14" width="11.6640625" style="3" customWidth="1"/>
    <col min="15" max="15" width="11.33203125" style="3" customWidth="1"/>
    <col min="16" max="16" width="15.5546875" style="3" customWidth="1"/>
    <col min="17" max="17" width="14.88671875" style="3" customWidth="1"/>
    <col min="18" max="18" width="23.33203125" style="3" customWidth="1"/>
    <col min="19" max="16384" width="9.109375" style="3"/>
  </cols>
  <sheetData>
    <row r="1" spans="1:18" ht="18" customHeight="1" thickBot="1" x14ac:dyDescent="0.4">
      <c r="A1" s="247" t="s">
        <v>59</v>
      </c>
      <c r="B1" s="247"/>
      <c r="C1" s="247"/>
      <c r="D1" s="247"/>
      <c r="E1" s="247"/>
      <c r="F1" s="247"/>
      <c r="G1" s="244" t="s">
        <v>0</v>
      </c>
      <c r="H1" s="245"/>
      <c r="I1" s="245"/>
      <c r="J1" s="245"/>
      <c r="K1" s="245"/>
      <c r="L1" s="245"/>
      <c r="M1" s="245"/>
      <c r="N1" s="245"/>
      <c r="O1" s="246"/>
      <c r="P1" s="122"/>
      <c r="Q1" s="123" t="s">
        <v>1</v>
      </c>
      <c r="R1" s="122"/>
    </row>
    <row r="2" spans="1:18" ht="21" customHeight="1" thickBot="1" x14ac:dyDescent="0.35">
      <c r="A2" s="4" t="s">
        <v>54</v>
      </c>
      <c r="B2" s="232" t="s">
        <v>78</v>
      </c>
      <c r="C2" s="233"/>
      <c r="D2" s="233"/>
      <c r="E2" s="233"/>
      <c r="F2" s="234"/>
      <c r="G2" s="251" t="s">
        <v>60</v>
      </c>
      <c r="H2" s="252"/>
      <c r="I2" s="253">
        <v>1158</v>
      </c>
      <c r="J2" s="254"/>
      <c r="K2" s="330"/>
      <c r="L2" s="191"/>
      <c r="M2" s="191"/>
      <c r="N2" s="191"/>
      <c r="O2" s="4"/>
      <c r="P2" s="221" t="s">
        <v>2</v>
      </c>
      <c r="Q2" s="221"/>
      <c r="R2" s="221"/>
    </row>
    <row r="3" spans="1:18" ht="21" customHeight="1" thickBot="1" x14ac:dyDescent="0.4">
      <c r="A3" s="96" t="s">
        <v>55</v>
      </c>
      <c r="B3" s="232">
        <v>121</v>
      </c>
      <c r="C3" s="233"/>
      <c r="D3" s="233"/>
      <c r="E3" s="233"/>
      <c r="F3" s="234"/>
      <c r="G3" s="230" t="s">
        <v>62</v>
      </c>
      <c r="H3" s="231"/>
      <c r="I3" s="253">
        <v>1252</v>
      </c>
      <c r="J3" s="254"/>
      <c r="K3" s="330"/>
      <c r="L3" s="191"/>
      <c r="M3" s="191"/>
      <c r="N3" s="191"/>
      <c r="P3" s="222" t="s">
        <v>3</v>
      </c>
      <c r="Q3" s="222"/>
      <c r="R3" s="222"/>
    </row>
    <row r="4" spans="1:18" ht="19.95" customHeight="1" thickBot="1" x14ac:dyDescent="0.35">
      <c r="A4" s="96" t="s">
        <v>56</v>
      </c>
      <c r="B4" s="232">
        <v>1.1000000000000001</v>
      </c>
      <c r="C4" s="233"/>
      <c r="D4" s="233"/>
      <c r="E4" s="233"/>
      <c r="F4" s="234"/>
      <c r="G4" s="230" t="s">
        <v>63</v>
      </c>
      <c r="H4" s="231"/>
      <c r="I4" s="255">
        <v>84</v>
      </c>
      <c r="J4" s="256"/>
      <c r="K4" s="331"/>
      <c r="L4" s="192"/>
      <c r="M4" s="192"/>
      <c r="N4" s="192"/>
      <c r="P4" s="5"/>
      <c r="Q4" s="6"/>
      <c r="R4" s="7"/>
    </row>
    <row r="5" spans="1:18" ht="17.399999999999999" customHeight="1" thickBot="1" x14ac:dyDescent="0.35">
      <c r="A5" s="96" t="s">
        <v>57</v>
      </c>
      <c r="B5" s="232">
        <v>2.5</v>
      </c>
      <c r="C5" s="233"/>
      <c r="D5" s="233"/>
      <c r="E5" s="233"/>
      <c r="F5" s="234"/>
      <c r="G5" s="230" t="s">
        <v>61</v>
      </c>
      <c r="H5" s="231"/>
      <c r="I5" s="257">
        <f>I3-I4</f>
        <v>1168</v>
      </c>
      <c r="J5" s="258"/>
      <c r="K5" s="332"/>
      <c r="L5" s="193"/>
      <c r="M5" s="193"/>
      <c r="N5" s="193"/>
      <c r="P5" s="5"/>
      <c r="Q5" s="6"/>
      <c r="R5" s="7"/>
    </row>
    <row r="6" spans="1:18" ht="18" customHeight="1" thickBot="1" x14ac:dyDescent="0.4">
      <c r="A6" s="1" t="s">
        <v>89</v>
      </c>
      <c r="B6" s="248" t="s">
        <v>90</v>
      </c>
      <c r="C6" s="249"/>
      <c r="D6" s="249"/>
      <c r="E6" s="249"/>
      <c r="F6" s="250"/>
      <c r="G6" s="230" t="s">
        <v>65</v>
      </c>
      <c r="H6" s="231"/>
      <c r="I6" s="259">
        <f>I3/B5</f>
        <v>501</v>
      </c>
      <c r="J6" s="260"/>
      <c r="K6" s="332"/>
      <c r="L6" s="194"/>
      <c r="M6" s="194"/>
      <c r="N6" s="194"/>
      <c r="P6" s="223" t="s">
        <v>6</v>
      </c>
      <c r="Q6" s="223"/>
      <c r="R6" s="223"/>
    </row>
    <row r="7" spans="1:18" ht="16.95" customHeight="1" thickBot="1" x14ac:dyDescent="0.3">
      <c r="A7" s="97" t="s">
        <v>7</v>
      </c>
      <c r="B7" s="232" t="s">
        <v>79</v>
      </c>
      <c r="C7" s="233"/>
      <c r="D7" s="233"/>
      <c r="E7" s="233"/>
      <c r="F7" s="234"/>
      <c r="G7" s="230" t="s">
        <v>64</v>
      </c>
      <c r="H7" s="231"/>
      <c r="I7" s="235">
        <f>I5/I2</f>
        <v>1.01</v>
      </c>
      <c r="J7" s="236"/>
      <c r="K7" s="332"/>
      <c r="L7" s="195"/>
      <c r="M7" s="195"/>
      <c r="N7" s="195"/>
    </row>
    <row r="8" spans="1:18" ht="16.95" customHeight="1" thickBot="1" x14ac:dyDescent="0.3">
      <c r="A8" s="97" t="s">
        <v>68</v>
      </c>
      <c r="B8" s="232" t="s">
        <v>80</v>
      </c>
      <c r="C8" s="233"/>
      <c r="D8" s="233"/>
      <c r="E8" s="233"/>
      <c r="F8" s="234"/>
      <c r="G8" s="265" t="s">
        <v>5</v>
      </c>
      <c r="H8" s="264"/>
      <c r="I8" s="253"/>
      <c r="J8" s="254"/>
      <c r="K8" s="330"/>
      <c r="L8" s="191"/>
      <c r="M8" s="191"/>
      <c r="N8" s="191"/>
    </row>
    <row r="9" spans="1:18" ht="16.95" customHeight="1" thickBot="1" x14ac:dyDescent="0.3">
      <c r="A9" s="97" t="s">
        <v>69</v>
      </c>
      <c r="B9" s="232" t="s">
        <v>81</v>
      </c>
      <c r="C9" s="233"/>
      <c r="D9" s="233"/>
      <c r="E9" s="233"/>
      <c r="F9" s="234"/>
      <c r="G9" s="265" t="s">
        <v>66</v>
      </c>
      <c r="H9" s="264"/>
      <c r="I9" s="253"/>
      <c r="J9" s="254"/>
      <c r="K9" s="330"/>
      <c r="L9" s="191"/>
      <c r="M9" s="191"/>
      <c r="N9" s="191"/>
    </row>
    <row r="10" spans="1:18" ht="16.95" customHeight="1" thickBot="1" x14ac:dyDescent="0.3">
      <c r="A10" s="97" t="s">
        <v>74</v>
      </c>
      <c r="B10" s="232">
        <v>10</v>
      </c>
      <c r="C10" s="233"/>
      <c r="D10" s="233"/>
      <c r="E10" s="233"/>
      <c r="F10" s="234"/>
      <c r="G10" s="265" t="s">
        <v>4</v>
      </c>
      <c r="H10" s="264"/>
      <c r="I10" s="253">
        <v>2</v>
      </c>
      <c r="J10" s="254"/>
      <c r="K10" s="330"/>
      <c r="L10" s="191"/>
      <c r="M10" s="191"/>
      <c r="N10" s="191"/>
    </row>
    <row r="11" spans="1:18" ht="16.95" customHeight="1" thickBot="1" x14ac:dyDescent="0.3">
      <c r="A11" s="97" t="s">
        <v>76</v>
      </c>
      <c r="B11" s="232"/>
      <c r="C11" s="233"/>
      <c r="D11" s="233"/>
      <c r="E11" s="233"/>
      <c r="F11" s="234"/>
      <c r="G11" s="264" t="s">
        <v>67</v>
      </c>
      <c r="H11" s="264"/>
      <c r="I11" s="253">
        <v>1.1000000000000001</v>
      </c>
      <c r="J11" s="254"/>
      <c r="K11" s="330"/>
      <c r="L11" s="191"/>
      <c r="M11" s="191"/>
      <c r="N11" s="191"/>
    </row>
    <row r="12" spans="1:18" ht="16.95" customHeight="1" thickBot="1" x14ac:dyDescent="0.3">
      <c r="A12" s="97" t="s">
        <v>77</v>
      </c>
      <c r="B12" s="261" t="s">
        <v>108</v>
      </c>
      <c r="C12" s="262"/>
      <c r="D12" s="262"/>
      <c r="E12" s="262"/>
      <c r="F12" s="263"/>
      <c r="G12" s="264" t="s">
        <v>85</v>
      </c>
      <c r="H12" s="264"/>
      <c r="I12" s="253"/>
      <c r="J12" s="254"/>
      <c r="K12" s="330"/>
      <c r="L12" s="191"/>
      <c r="M12" s="191"/>
      <c r="N12" s="191"/>
    </row>
    <row r="13" spans="1:18" ht="15" customHeight="1" thickBot="1" x14ac:dyDescent="0.3">
      <c r="A13" s="9"/>
      <c r="B13" s="9" t="s">
        <v>8</v>
      </c>
      <c r="C13" s="9"/>
      <c r="D13" s="9"/>
      <c r="E13" s="9"/>
      <c r="F13" s="10"/>
      <c r="G13" s="237" t="s">
        <v>9</v>
      </c>
      <c r="H13" s="237"/>
      <c r="I13" s="11"/>
      <c r="J13" s="12"/>
      <c r="K13" s="333"/>
      <c r="L13" s="196"/>
      <c r="M13" s="196"/>
      <c r="N13" s="196"/>
      <c r="O13" s="13" t="s">
        <v>10</v>
      </c>
      <c r="P13" s="13" t="s">
        <v>11</v>
      </c>
      <c r="Q13" s="13" t="s">
        <v>12</v>
      </c>
      <c r="R13" s="13" t="s">
        <v>13</v>
      </c>
    </row>
    <row r="14" spans="1:18" ht="14.4" x14ac:dyDescent="0.3">
      <c r="A14" s="14"/>
      <c r="B14" s="14"/>
      <c r="C14" s="14" t="s">
        <v>14</v>
      </c>
      <c r="D14" s="15" t="s">
        <v>15</v>
      </c>
      <c r="E14" s="14" t="s">
        <v>16</v>
      </c>
      <c r="F14" s="14" t="s">
        <v>17</v>
      </c>
      <c r="G14" s="16" t="s">
        <v>18</v>
      </c>
      <c r="H14" s="17" t="s">
        <v>19</v>
      </c>
      <c r="I14" s="18" t="s">
        <v>20</v>
      </c>
      <c r="J14" s="14" t="s">
        <v>21</v>
      </c>
      <c r="K14" s="334" t="s">
        <v>187</v>
      </c>
      <c r="L14" s="14" t="s">
        <v>190</v>
      </c>
      <c r="M14" s="14" t="s">
        <v>190</v>
      </c>
      <c r="N14" s="14" t="s">
        <v>190</v>
      </c>
      <c r="O14" s="18" t="s">
        <v>22</v>
      </c>
      <c r="P14" s="18" t="s">
        <v>23</v>
      </c>
      <c r="Q14" s="18" t="s">
        <v>24</v>
      </c>
      <c r="R14" s="18" t="s">
        <v>25</v>
      </c>
    </row>
    <row r="15" spans="1:18" x14ac:dyDescent="0.25">
      <c r="A15" s="14"/>
      <c r="B15" s="14"/>
      <c r="C15" s="14" t="s">
        <v>26</v>
      </c>
      <c r="D15" s="14" t="s">
        <v>27</v>
      </c>
      <c r="E15" s="14" t="s">
        <v>28</v>
      </c>
      <c r="F15" s="14" t="s">
        <v>29</v>
      </c>
      <c r="G15" s="16"/>
      <c r="H15" s="17"/>
      <c r="I15" s="18" t="s">
        <v>30</v>
      </c>
      <c r="J15" s="14" t="s">
        <v>30</v>
      </c>
      <c r="K15" s="334" t="s">
        <v>188</v>
      </c>
      <c r="L15" s="14" t="s">
        <v>189</v>
      </c>
      <c r="M15" s="14" t="s">
        <v>192</v>
      </c>
      <c r="N15" s="14" t="s">
        <v>193</v>
      </c>
      <c r="O15" s="18" t="s">
        <v>31</v>
      </c>
      <c r="P15" s="18" t="s">
        <v>32</v>
      </c>
      <c r="Q15" s="18" t="s">
        <v>33</v>
      </c>
      <c r="R15" s="18" t="s">
        <v>34</v>
      </c>
    </row>
    <row r="16" spans="1:18" ht="13.8" thickBot="1" x14ac:dyDescent="0.3">
      <c r="A16" s="14"/>
      <c r="B16" s="14"/>
      <c r="C16" s="14"/>
      <c r="D16" s="14"/>
      <c r="E16" s="14" t="s">
        <v>35</v>
      </c>
      <c r="F16" s="14"/>
      <c r="G16" s="16"/>
      <c r="H16" s="17"/>
      <c r="I16" s="14"/>
      <c r="J16" s="14"/>
      <c r="K16" s="334" t="s">
        <v>189</v>
      </c>
      <c r="L16" s="14" t="s">
        <v>191</v>
      </c>
      <c r="M16" s="14" t="s">
        <v>191</v>
      </c>
      <c r="N16" s="14" t="s">
        <v>191</v>
      </c>
      <c r="O16" s="134"/>
      <c r="P16" s="134"/>
      <c r="Q16" s="134"/>
      <c r="R16" s="134"/>
    </row>
    <row r="17" spans="1:197" x14ac:dyDescent="0.25">
      <c r="A17" s="352" t="s">
        <v>36</v>
      </c>
      <c r="B17" s="31"/>
      <c r="C17" s="31"/>
      <c r="D17" s="31"/>
      <c r="E17" s="31"/>
      <c r="F17" s="31"/>
      <c r="G17" s="353">
        <f>I11</f>
        <v>1.1000000000000001</v>
      </c>
      <c r="H17" s="54"/>
      <c r="I17" s="34"/>
      <c r="J17" s="34"/>
      <c r="K17" s="354"/>
      <c r="L17" s="34"/>
      <c r="M17" s="34"/>
      <c r="N17" s="34"/>
      <c r="O17" s="32"/>
      <c r="P17" s="32"/>
      <c r="Q17" s="32"/>
      <c r="R17" s="355"/>
    </row>
    <row r="18" spans="1:197" x14ac:dyDescent="0.25">
      <c r="A18" s="356" t="s">
        <v>37</v>
      </c>
      <c r="B18" s="35" t="s">
        <v>38</v>
      </c>
      <c r="C18" s="343">
        <v>3</v>
      </c>
      <c r="D18" s="37" t="s">
        <v>39</v>
      </c>
      <c r="E18" s="220">
        <v>36.03</v>
      </c>
      <c r="F18" s="343">
        <v>1.2</v>
      </c>
      <c r="G18" s="220">
        <f>C18*G17</f>
        <v>3.3</v>
      </c>
      <c r="H18" s="38">
        <f>16/G18</f>
        <v>4.8479999999999999</v>
      </c>
      <c r="I18" s="36">
        <f>J18/2</f>
        <v>2.91</v>
      </c>
      <c r="J18" s="38">
        <f t="shared" ref="J18:J20" si="0">F18/G18*16</f>
        <v>5.8179999999999996</v>
      </c>
      <c r="K18" s="344"/>
      <c r="L18" s="38">
        <f t="shared" ref="L18:L19" si="1">(F18*K18/1000)/0.73</f>
        <v>0</v>
      </c>
      <c r="M18" s="38">
        <f>L18*0.4</f>
        <v>0</v>
      </c>
      <c r="N18" s="38">
        <f>L18*0.05</f>
        <v>0</v>
      </c>
      <c r="O18" s="106">
        <f>E18*J18</f>
        <v>209.62</v>
      </c>
      <c r="P18" s="106">
        <f>O18*0.5</f>
        <v>104.81</v>
      </c>
      <c r="Q18" s="106">
        <f>(O18+P18)*0.22</f>
        <v>69.17</v>
      </c>
      <c r="R18" s="117">
        <f>O18+P18+Q18</f>
        <v>383.6</v>
      </c>
      <c r="GO18" s="3">
        <v>26</v>
      </c>
    </row>
    <row r="19" spans="1:197" x14ac:dyDescent="0.25">
      <c r="A19" s="357" t="s">
        <v>107</v>
      </c>
      <c r="B19" s="35" t="s">
        <v>38</v>
      </c>
      <c r="C19" s="343">
        <v>0.24</v>
      </c>
      <c r="D19" s="37">
        <v>3</v>
      </c>
      <c r="E19" s="220">
        <v>27.45</v>
      </c>
      <c r="F19" s="343">
        <v>2.5</v>
      </c>
      <c r="G19" s="220">
        <f>C19*G17</f>
        <v>0.26400000000000001</v>
      </c>
      <c r="H19" s="38">
        <f>16/G19</f>
        <v>60.606000000000002</v>
      </c>
      <c r="I19" s="36"/>
      <c r="J19" s="38">
        <f>F19/G19*8</f>
        <v>75.757999999999996</v>
      </c>
      <c r="K19" s="344"/>
      <c r="L19" s="38">
        <f t="shared" si="1"/>
        <v>0</v>
      </c>
      <c r="M19" s="38">
        <f t="shared" ref="M19:M20" si="2">L19*0.4</f>
        <v>0</v>
      </c>
      <c r="N19" s="38">
        <f t="shared" ref="N19:N20" si="3">L19*0.05</f>
        <v>0</v>
      </c>
      <c r="O19" s="106">
        <f>E19*J19</f>
        <v>2079.56</v>
      </c>
      <c r="P19" s="106">
        <f t="shared" ref="P19:P20" si="4">O19*0.5</f>
        <v>1039.78</v>
      </c>
      <c r="Q19" s="106">
        <f>(O19+P19)*0.22</f>
        <v>686.25</v>
      </c>
      <c r="R19" s="117">
        <f>O19+P19+Q19</f>
        <v>3805.59</v>
      </c>
    </row>
    <row r="20" spans="1:197" x14ac:dyDescent="0.25">
      <c r="A20" s="356" t="s">
        <v>155</v>
      </c>
      <c r="B20" s="35" t="s">
        <v>70</v>
      </c>
      <c r="C20" s="343">
        <v>64</v>
      </c>
      <c r="D20" s="37" t="s">
        <v>71</v>
      </c>
      <c r="E20" s="220">
        <v>27.79</v>
      </c>
      <c r="F20" s="343">
        <f>I2</f>
        <v>1158</v>
      </c>
      <c r="G20" s="220">
        <f>C20*G17</f>
        <v>70.400000000000006</v>
      </c>
      <c r="H20" s="38">
        <f>16/G20</f>
        <v>0.22700000000000001</v>
      </c>
      <c r="I20" s="36">
        <f t="shared" ref="I20" si="5">J20/2</f>
        <v>131.59</v>
      </c>
      <c r="J20" s="38">
        <f t="shared" si="0"/>
        <v>263.18200000000002</v>
      </c>
      <c r="K20" s="344"/>
      <c r="L20" s="38">
        <f>(F20*K20/1000)/0.73</f>
        <v>0</v>
      </c>
      <c r="M20" s="38">
        <f t="shared" si="2"/>
        <v>0</v>
      </c>
      <c r="N20" s="38">
        <f t="shared" si="3"/>
        <v>0</v>
      </c>
      <c r="O20" s="106">
        <f t="shared" ref="O20" si="6">E20*J20</f>
        <v>7313.83</v>
      </c>
      <c r="P20" s="106">
        <f t="shared" si="4"/>
        <v>3656.92</v>
      </c>
      <c r="Q20" s="106">
        <f t="shared" ref="Q20" si="7">(O20+P20)*0.22</f>
        <v>2413.5700000000002</v>
      </c>
      <c r="R20" s="117">
        <f t="shared" ref="R20" si="8">O20+P20+Q20</f>
        <v>13384.32</v>
      </c>
    </row>
    <row r="21" spans="1:197" x14ac:dyDescent="0.25">
      <c r="A21" s="356" t="s">
        <v>109</v>
      </c>
      <c r="B21" s="220"/>
      <c r="C21" s="343"/>
      <c r="D21" s="40"/>
      <c r="E21" s="40"/>
      <c r="F21" s="343"/>
      <c r="G21" s="220"/>
      <c r="H21" s="38"/>
      <c r="I21" s="36"/>
      <c r="J21" s="38"/>
      <c r="K21" s="344"/>
      <c r="L21" s="38"/>
      <c r="M21" s="38"/>
      <c r="N21" s="38"/>
      <c r="O21" s="107"/>
      <c r="P21" s="106"/>
      <c r="Q21" s="106"/>
      <c r="R21" s="117"/>
      <c r="GO21" s="3">
        <v>45</v>
      </c>
    </row>
    <row r="22" spans="1:197" ht="14.4" x14ac:dyDescent="0.3">
      <c r="A22" s="102" t="s">
        <v>75</v>
      </c>
      <c r="B22" s="35" t="s">
        <v>40</v>
      </c>
      <c r="C22" s="106">
        <f>C24*0.88</f>
        <v>116.16</v>
      </c>
      <c r="D22" s="37" t="s">
        <v>39</v>
      </c>
      <c r="E22" s="220">
        <v>36.03</v>
      </c>
      <c r="F22" s="109">
        <v>79</v>
      </c>
      <c r="G22" s="36">
        <f>C22*G17</f>
        <v>127.78</v>
      </c>
      <c r="H22" s="38">
        <f>16/G22</f>
        <v>0.125</v>
      </c>
      <c r="I22" s="36">
        <f>J22/2</f>
        <v>4.95</v>
      </c>
      <c r="J22" s="38">
        <f>F22/G22*16</f>
        <v>9.8919999999999995</v>
      </c>
      <c r="K22" s="344"/>
      <c r="L22" s="38">
        <f t="shared" ref="L22:L24" si="9">(F22*K22/1000)/0.73</f>
        <v>0</v>
      </c>
      <c r="M22" s="38">
        <f t="shared" ref="M22:M24" si="10">L22*0.4</f>
        <v>0</v>
      </c>
      <c r="N22" s="38">
        <f t="shared" ref="N22:N24" si="11">L22*0.05</f>
        <v>0</v>
      </c>
      <c r="O22" s="106">
        <f>E22*J22</f>
        <v>356.41</v>
      </c>
      <c r="P22" s="106">
        <f>O22*0.5</f>
        <v>178.21</v>
      </c>
      <c r="Q22" s="106">
        <f t="shared" ref="Q22:Q57" si="12">(O22+P22)*0.22</f>
        <v>117.62</v>
      </c>
      <c r="R22" s="117">
        <f t="shared" ref="R22:R52" si="13">O22+P22+Q22</f>
        <v>652.24</v>
      </c>
    </row>
    <row r="23" spans="1:197" x14ac:dyDescent="0.25">
      <c r="A23" s="39" t="s">
        <v>72</v>
      </c>
      <c r="B23" s="35" t="s">
        <v>40</v>
      </c>
      <c r="C23" s="106">
        <v>163</v>
      </c>
      <c r="D23" s="220"/>
      <c r="E23" s="40"/>
      <c r="F23" s="109">
        <v>363</v>
      </c>
      <c r="G23" s="36">
        <f>C23*G17</f>
        <v>179.3</v>
      </c>
      <c r="H23" s="38">
        <f>16/G23</f>
        <v>8.8999999999999996E-2</v>
      </c>
      <c r="I23" s="36">
        <f>J23/2</f>
        <v>16.2</v>
      </c>
      <c r="J23" s="38">
        <f>F23/G23*16</f>
        <v>32.393000000000001</v>
      </c>
      <c r="K23" s="344"/>
      <c r="L23" s="38">
        <f t="shared" si="9"/>
        <v>0</v>
      </c>
      <c r="M23" s="38">
        <f t="shared" si="10"/>
        <v>0</v>
      </c>
      <c r="N23" s="38">
        <f t="shared" si="11"/>
        <v>0</v>
      </c>
      <c r="O23" s="106">
        <f>E22*J23</f>
        <v>1167.1199999999999</v>
      </c>
      <c r="P23" s="106">
        <f t="shared" ref="P23:P24" si="14">O23*0.5</f>
        <v>583.55999999999995</v>
      </c>
      <c r="Q23" s="106">
        <f>(O23+P23)*0.22</f>
        <v>385.15</v>
      </c>
      <c r="R23" s="117">
        <f t="shared" si="13"/>
        <v>2135.83</v>
      </c>
    </row>
    <row r="24" spans="1:197" x14ac:dyDescent="0.25">
      <c r="A24" s="39" t="s">
        <v>73</v>
      </c>
      <c r="B24" s="35" t="s">
        <v>40</v>
      </c>
      <c r="C24" s="106">
        <v>132</v>
      </c>
      <c r="D24" s="220"/>
      <c r="E24" s="40"/>
      <c r="F24" s="109">
        <v>726</v>
      </c>
      <c r="G24" s="36">
        <f>C24*G17</f>
        <v>145.19999999999999</v>
      </c>
      <c r="H24" s="38">
        <f>16/G24</f>
        <v>0.11</v>
      </c>
      <c r="I24" s="36">
        <f>J24/2</f>
        <v>40</v>
      </c>
      <c r="J24" s="38">
        <f>F24/G24*16</f>
        <v>80</v>
      </c>
      <c r="K24" s="344"/>
      <c r="L24" s="38">
        <f t="shared" si="9"/>
        <v>0</v>
      </c>
      <c r="M24" s="38">
        <f t="shared" si="10"/>
        <v>0</v>
      </c>
      <c r="N24" s="38">
        <f t="shared" si="11"/>
        <v>0</v>
      </c>
      <c r="O24" s="106">
        <f>E22*J24</f>
        <v>2882.4</v>
      </c>
      <c r="P24" s="106">
        <f t="shared" si="14"/>
        <v>1441.2</v>
      </c>
      <c r="Q24" s="106">
        <f>(O24+P24)*0.22</f>
        <v>951.19</v>
      </c>
      <c r="R24" s="117">
        <f t="shared" si="13"/>
        <v>5274.79</v>
      </c>
    </row>
    <row r="25" spans="1:197" x14ac:dyDescent="0.25">
      <c r="A25" s="358" t="s">
        <v>110</v>
      </c>
      <c r="B25" s="345"/>
      <c r="C25" s="107"/>
      <c r="D25" s="343"/>
      <c r="E25" s="345"/>
      <c r="F25" s="346"/>
      <c r="G25" s="107"/>
      <c r="H25" s="347"/>
      <c r="I25" s="107"/>
      <c r="J25" s="347"/>
      <c r="K25" s="348"/>
      <c r="L25" s="347"/>
      <c r="M25" s="347"/>
      <c r="N25" s="347"/>
      <c r="O25" s="106"/>
      <c r="P25" s="106"/>
      <c r="Q25" s="106"/>
      <c r="R25" s="117"/>
      <c r="T25" s="8"/>
    </row>
    <row r="26" spans="1:197" x14ac:dyDescent="0.25">
      <c r="A26" s="39" t="s">
        <v>42</v>
      </c>
      <c r="B26" s="35" t="s">
        <v>40</v>
      </c>
      <c r="C26" s="106">
        <f>C28*0.88</f>
        <v>21.12</v>
      </c>
      <c r="D26" s="220">
        <v>4</v>
      </c>
      <c r="E26" s="220">
        <v>30.88</v>
      </c>
      <c r="F26" s="109">
        <v>79</v>
      </c>
      <c r="G26" s="36">
        <f>C26*G17</f>
        <v>23.23</v>
      </c>
      <c r="H26" s="38">
        <f>8/G26</f>
        <v>0.34399999999999997</v>
      </c>
      <c r="I26" s="36">
        <f>J26</f>
        <v>27.21</v>
      </c>
      <c r="J26" s="38">
        <f>F26/G26*8</f>
        <v>27.206</v>
      </c>
      <c r="K26" s="344"/>
      <c r="L26" s="38">
        <f t="shared" ref="L26:L28" si="15">(F26*K26/1000)/0.73</f>
        <v>0</v>
      </c>
      <c r="M26" s="38">
        <f t="shared" ref="M26:M28" si="16">L26*0.4</f>
        <v>0</v>
      </c>
      <c r="N26" s="38">
        <f t="shared" ref="N26:N28" si="17">L26*0.05</f>
        <v>0</v>
      </c>
      <c r="O26" s="106">
        <f>E26*J26</f>
        <v>840.12</v>
      </c>
      <c r="P26" s="106">
        <f>O26*0.5</f>
        <v>420.06</v>
      </c>
      <c r="Q26" s="106">
        <f t="shared" si="12"/>
        <v>277.24</v>
      </c>
      <c r="R26" s="117">
        <f t="shared" si="13"/>
        <v>1537.42</v>
      </c>
    </row>
    <row r="27" spans="1:197" x14ac:dyDescent="0.25">
      <c r="A27" s="39" t="s">
        <v>72</v>
      </c>
      <c r="B27" s="35" t="s">
        <v>40</v>
      </c>
      <c r="C27" s="106">
        <v>34.799999999999997</v>
      </c>
      <c r="D27" s="40"/>
      <c r="E27" s="220"/>
      <c r="F27" s="109">
        <v>363</v>
      </c>
      <c r="G27" s="36">
        <f>C27*G17</f>
        <v>38.28</v>
      </c>
      <c r="H27" s="38">
        <f>8/G27</f>
        <v>0.20899999999999999</v>
      </c>
      <c r="I27" s="36">
        <f>J27</f>
        <v>75.86</v>
      </c>
      <c r="J27" s="38">
        <f>F27/G27*8</f>
        <v>75.861999999999995</v>
      </c>
      <c r="K27" s="344"/>
      <c r="L27" s="38">
        <f t="shared" si="15"/>
        <v>0</v>
      </c>
      <c r="M27" s="38">
        <f t="shared" si="16"/>
        <v>0</v>
      </c>
      <c r="N27" s="38">
        <f t="shared" si="17"/>
        <v>0</v>
      </c>
      <c r="O27" s="106">
        <f>E26*J27</f>
        <v>2342.62</v>
      </c>
      <c r="P27" s="106">
        <f t="shared" ref="P27:P28" si="18">O27*0.5</f>
        <v>1171.31</v>
      </c>
      <c r="Q27" s="106">
        <f t="shared" si="12"/>
        <v>773.06</v>
      </c>
      <c r="R27" s="117">
        <f t="shared" si="13"/>
        <v>4286.99</v>
      </c>
    </row>
    <row r="28" spans="1:197" x14ac:dyDescent="0.25">
      <c r="A28" s="39" t="s">
        <v>73</v>
      </c>
      <c r="B28" s="35" t="s">
        <v>40</v>
      </c>
      <c r="C28" s="106">
        <v>24</v>
      </c>
      <c r="D28" s="220"/>
      <c r="E28" s="220"/>
      <c r="F28" s="109">
        <v>726</v>
      </c>
      <c r="G28" s="36">
        <f>C28*G17</f>
        <v>26.4</v>
      </c>
      <c r="H28" s="38">
        <f>8/G28</f>
        <v>0.30299999999999999</v>
      </c>
      <c r="I28" s="36">
        <f>J28</f>
        <v>220</v>
      </c>
      <c r="J28" s="38">
        <f>F28/G28*8</f>
        <v>220</v>
      </c>
      <c r="K28" s="344"/>
      <c r="L28" s="38">
        <f t="shared" si="15"/>
        <v>0</v>
      </c>
      <c r="M28" s="38">
        <f t="shared" si="16"/>
        <v>0</v>
      </c>
      <c r="N28" s="38">
        <f t="shared" si="17"/>
        <v>0</v>
      </c>
      <c r="O28" s="106">
        <f>E26*J28</f>
        <v>6793.6</v>
      </c>
      <c r="P28" s="106">
        <f t="shared" si="18"/>
        <v>3396.8</v>
      </c>
      <c r="Q28" s="106">
        <f t="shared" si="12"/>
        <v>2241.89</v>
      </c>
      <c r="R28" s="117">
        <f t="shared" si="13"/>
        <v>12432.29</v>
      </c>
    </row>
    <row r="29" spans="1:197" x14ac:dyDescent="0.25">
      <c r="A29" s="358" t="s">
        <v>111</v>
      </c>
      <c r="B29" s="345"/>
      <c r="C29" s="107"/>
      <c r="D29" s="343"/>
      <c r="E29" s="345"/>
      <c r="F29" s="346"/>
      <c r="G29" s="107"/>
      <c r="H29" s="347"/>
      <c r="I29" s="107"/>
      <c r="J29" s="347"/>
      <c r="K29" s="348"/>
      <c r="L29" s="347"/>
      <c r="M29" s="347"/>
      <c r="N29" s="347"/>
      <c r="O29" s="106"/>
      <c r="P29" s="106"/>
      <c r="Q29" s="106">
        <f t="shared" ref="Q29:Q32" si="19">(O29+P29)*0.22</f>
        <v>0</v>
      </c>
      <c r="R29" s="117">
        <f t="shared" ref="R29:R32" si="20">O29+P29+Q29</f>
        <v>0</v>
      </c>
      <c r="T29" s="8"/>
    </row>
    <row r="30" spans="1:197" x14ac:dyDescent="0.25">
      <c r="A30" s="39" t="s">
        <v>42</v>
      </c>
      <c r="B30" s="35" t="s">
        <v>40</v>
      </c>
      <c r="C30" s="106">
        <f>C32*0.88</f>
        <v>42.5</v>
      </c>
      <c r="D30" s="220">
        <v>4</v>
      </c>
      <c r="E30" s="220">
        <v>30.88</v>
      </c>
      <c r="F30" s="109">
        <v>79</v>
      </c>
      <c r="G30" s="36">
        <f>C30*G17</f>
        <v>46.75</v>
      </c>
      <c r="H30" s="38">
        <f>8/G30</f>
        <v>0.17100000000000001</v>
      </c>
      <c r="I30" s="36">
        <f>J30</f>
        <v>13.52</v>
      </c>
      <c r="J30" s="38">
        <f>F30/G30*8</f>
        <v>13.519</v>
      </c>
      <c r="K30" s="344"/>
      <c r="L30" s="38"/>
      <c r="M30" s="38"/>
      <c r="N30" s="38"/>
      <c r="O30" s="106">
        <f>E30*J30</f>
        <v>417.47</v>
      </c>
      <c r="P30" s="106">
        <f>O30*0.5</f>
        <v>208.74</v>
      </c>
      <c r="Q30" s="106">
        <f t="shared" si="19"/>
        <v>137.77000000000001</v>
      </c>
      <c r="R30" s="117">
        <f t="shared" si="20"/>
        <v>763.98</v>
      </c>
    </row>
    <row r="31" spans="1:197" x14ac:dyDescent="0.25">
      <c r="A31" s="39" t="s">
        <v>72</v>
      </c>
      <c r="B31" s="35" t="s">
        <v>40</v>
      </c>
      <c r="C31" s="106">
        <v>72.5</v>
      </c>
      <c r="D31" s="40"/>
      <c r="E31" s="220"/>
      <c r="F31" s="109">
        <v>363</v>
      </c>
      <c r="G31" s="36">
        <f>C31*G17</f>
        <v>79.75</v>
      </c>
      <c r="H31" s="38">
        <f>8/G31</f>
        <v>0.1</v>
      </c>
      <c r="I31" s="36">
        <f>J31</f>
        <v>36.409999999999997</v>
      </c>
      <c r="J31" s="38">
        <f>F31/G31*8</f>
        <v>36.414000000000001</v>
      </c>
      <c r="K31" s="344"/>
      <c r="L31" s="38"/>
      <c r="M31" s="38"/>
      <c r="N31" s="38"/>
      <c r="O31" s="106">
        <f>E30*J31</f>
        <v>1124.46</v>
      </c>
      <c r="P31" s="106">
        <f t="shared" ref="P31:P32" si="21">O31*0.5</f>
        <v>562.23</v>
      </c>
      <c r="Q31" s="106">
        <f t="shared" si="19"/>
        <v>371.07</v>
      </c>
      <c r="R31" s="117">
        <f t="shared" si="20"/>
        <v>2057.7600000000002</v>
      </c>
    </row>
    <row r="32" spans="1:197" x14ac:dyDescent="0.25">
      <c r="A32" s="39" t="s">
        <v>73</v>
      </c>
      <c r="B32" s="35" t="s">
        <v>40</v>
      </c>
      <c r="C32" s="106">
        <v>48.3</v>
      </c>
      <c r="D32" s="220"/>
      <c r="E32" s="220"/>
      <c r="F32" s="109">
        <v>726</v>
      </c>
      <c r="G32" s="36">
        <f>C32*G17</f>
        <v>53.13</v>
      </c>
      <c r="H32" s="38">
        <f>8/G32</f>
        <v>0.151</v>
      </c>
      <c r="I32" s="36">
        <f>J32</f>
        <v>109.32</v>
      </c>
      <c r="J32" s="38">
        <f>F32/G32*8</f>
        <v>109.31699999999999</v>
      </c>
      <c r="K32" s="344"/>
      <c r="L32" s="38"/>
      <c r="M32" s="38"/>
      <c r="N32" s="38"/>
      <c r="O32" s="106">
        <f>E30*J32</f>
        <v>3375.71</v>
      </c>
      <c r="P32" s="106">
        <f t="shared" si="21"/>
        <v>1687.86</v>
      </c>
      <c r="Q32" s="106">
        <f t="shared" si="19"/>
        <v>1113.99</v>
      </c>
      <c r="R32" s="117">
        <f t="shared" si="20"/>
        <v>6177.56</v>
      </c>
    </row>
    <row r="33" spans="1:18" x14ac:dyDescent="0.25">
      <c r="A33" s="358" t="s">
        <v>112</v>
      </c>
      <c r="B33" s="40"/>
      <c r="C33" s="343"/>
      <c r="D33" s="57"/>
      <c r="E33" s="57"/>
      <c r="F33" s="109"/>
      <c r="G33" s="36"/>
      <c r="H33" s="38"/>
      <c r="I33" s="36"/>
      <c r="J33" s="38"/>
      <c r="K33" s="344"/>
      <c r="L33" s="38"/>
      <c r="M33" s="38"/>
      <c r="N33" s="38"/>
      <c r="O33" s="106"/>
      <c r="P33" s="106"/>
      <c r="Q33" s="106"/>
      <c r="R33" s="117"/>
    </row>
    <row r="34" spans="1:18" ht="14.4" x14ac:dyDescent="0.3">
      <c r="A34" s="159" t="s">
        <v>115</v>
      </c>
      <c r="B34" s="35" t="s">
        <v>40</v>
      </c>
      <c r="C34" s="106">
        <f>C36*0.88</f>
        <v>66</v>
      </c>
      <c r="D34" s="37" t="s">
        <v>43</v>
      </c>
      <c r="E34" s="220">
        <v>35.22</v>
      </c>
      <c r="F34" s="109">
        <v>0</v>
      </c>
      <c r="G34" s="56">
        <f>C34*G17</f>
        <v>72.599999999999994</v>
      </c>
      <c r="H34" s="38">
        <f t="shared" ref="H34:H45" si="22">16/G34</f>
        <v>0.22</v>
      </c>
      <c r="I34" s="36">
        <f t="shared" ref="I34:I45" si="23">J34/2</f>
        <v>0</v>
      </c>
      <c r="J34" s="38">
        <f>F34/G34*16</f>
        <v>0</v>
      </c>
      <c r="K34" s="344"/>
      <c r="L34" s="38">
        <f t="shared" ref="L34:L45" si="24">(F34*K34/1000)/0.73</f>
        <v>0</v>
      </c>
      <c r="M34" s="38">
        <f t="shared" ref="M34:M45" si="25">L34*0.4</f>
        <v>0</v>
      </c>
      <c r="N34" s="38">
        <f t="shared" ref="N34:N45" si="26">L34*0.05</f>
        <v>0</v>
      </c>
      <c r="O34" s="106">
        <f>E34*J34</f>
        <v>0</v>
      </c>
      <c r="P34" s="106">
        <f t="shared" ref="P34:P45" si="27">O34*0.5</f>
        <v>0</v>
      </c>
      <c r="Q34" s="106">
        <f t="shared" si="12"/>
        <v>0</v>
      </c>
      <c r="R34" s="117">
        <f t="shared" si="13"/>
        <v>0</v>
      </c>
    </row>
    <row r="35" spans="1:18" x14ac:dyDescent="0.25">
      <c r="A35" s="39" t="s">
        <v>72</v>
      </c>
      <c r="B35" s="35" t="s">
        <v>40</v>
      </c>
      <c r="C35" s="106">
        <v>90</v>
      </c>
      <c r="D35" s="220"/>
      <c r="E35" s="220"/>
      <c r="F35" s="109">
        <v>104</v>
      </c>
      <c r="G35" s="56">
        <f>C35*G17</f>
        <v>99</v>
      </c>
      <c r="H35" s="38">
        <f t="shared" si="22"/>
        <v>0.16200000000000001</v>
      </c>
      <c r="I35" s="36">
        <f t="shared" si="23"/>
        <v>8.4</v>
      </c>
      <c r="J35" s="38">
        <f>F35/G35*16</f>
        <v>16.808</v>
      </c>
      <c r="K35" s="344"/>
      <c r="L35" s="38">
        <f t="shared" si="24"/>
        <v>0</v>
      </c>
      <c r="M35" s="38">
        <f t="shared" si="25"/>
        <v>0</v>
      </c>
      <c r="N35" s="38">
        <f t="shared" si="26"/>
        <v>0</v>
      </c>
      <c r="O35" s="106">
        <f>E34*J35</f>
        <v>591.98</v>
      </c>
      <c r="P35" s="106">
        <f t="shared" si="27"/>
        <v>295.99</v>
      </c>
      <c r="Q35" s="106">
        <f t="shared" si="12"/>
        <v>195.35</v>
      </c>
      <c r="R35" s="117">
        <f t="shared" si="13"/>
        <v>1083.32</v>
      </c>
    </row>
    <row r="36" spans="1:18" x14ac:dyDescent="0.25">
      <c r="A36" s="39" t="s">
        <v>73</v>
      </c>
      <c r="B36" s="35" t="s">
        <v>40</v>
      </c>
      <c r="C36" s="106">
        <v>75</v>
      </c>
      <c r="D36" s="220"/>
      <c r="E36" s="220"/>
      <c r="F36" s="109">
        <v>255</v>
      </c>
      <c r="G36" s="56">
        <f>C36*G17</f>
        <v>82.5</v>
      </c>
      <c r="H36" s="38">
        <f t="shared" si="22"/>
        <v>0.19400000000000001</v>
      </c>
      <c r="I36" s="36">
        <f t="shared" si="23"/>
        <v>24.73</v>
      </c>
      <c r="J36" s="38">
        <f>F36/G36*16</f>
        <v>49.454999999999998</v>
      </c>
      <c r="K36" s="344"/>
      <c r="L36" s="38">
        <f t="shared" si="24"/>
        <v>0</v>
      </c>
      <c r="M36" s="38">
        <f t="shared" si="25"/>
        <v>0</v>
      </c>
      <c r="N36" s="38">
        <f t="shared" si="26"/>
        <v>0</v>
      </c>
      <c r="O36" s="106">
        <f>E34*J36</f>
        <v>1741.81</v>
      </c>
      <c r="P36" s="106">
        <f t="shared" si="27"/>
        <v>870.91</v>
      </c>
      <c r="Q36" s="106">
        <f t="shared" si="12"/>
        <v>574.79999999999995</v>
      </c>
      <c r="R36" s="117">
        <f t="shared" si="13"/>
        <v>3187.52</v>
      </c>
    </row>
    <row r="37" spans="1:18" ht="14.4" x14ac:dyDescent="0.3">
      <c r="A37" s="159" t="s">
        <v>116</v>
      </c>
      <c r="B37" s="35" t="s">
        <v>40</v>
      </c>
      <c r="C37" s="106">
        <f>C39*0.88</f>
        <v>46.64</v>
      </c>
      <c r="D37" s="37" t="s">
        <v>43</v>
      </c>
      <c r="E37" s="220">
        <v>35.22</v>
      </c>
      <c r="F37" s="109">
        <v>0</v>
      </c>
      <c r="G37" s="36">
        <f>C37*G17</f>
        <v>51.3</v>
      </c>
      <c r="H37" s="38">
        <f t="shared" si="22"/>
        <v>0.312</v>
      </c>
      <c r="I37" s="36">
        <f t="shared" si="23"/>
        <v>0</v>
      </c>
      <c r="J37" s="38">
        <f t="shared" ref="J37:J45" si="28">F37/G37*16</f>
        <v>0</v>
      </c>
      <c r="K37" s="344"/>
      <c r="L37" s="38">
        <f t="shared" si="24"/>
        <v>0</v>
      </c>
      <c r="M37" s="38">
        <f t="shared" si="25"/>
        <v>0</v>
      </c>
      <c r="N37" s="38">
        <f t="shared" si="26"/>
        <v>0</v>
      </c>
      <c r="O37" s="106">
        <f>E37*J37</f>
        <v>0</v>
      </c>
      <c r="P37" s="106">
        <f t="shared" si="27"/>
        <v>0</v>
      </c>
      <c r="Q37" s="106">
        <f t="shared" si="12"/>
        <v>0</v>
      </c>
      <c r="R37" s="117">
        <f t="shared" si="13"/>
        <v>0</v>
      </c>
    </row>
    <row r="38" spans="1:18" x14ac:dyDescent="0.25">
      <c r="A38" s="39" t="s">
        <v>72</v>
      </c>
      <c r="B38" s="35" t="s">
        <v>40</v>
      </c>
      <c r="C38" s="106">
        <v>64</v>
      </c>
      <c r="D38" s="57"/>
      <c r="E38" s="220"/>
      <c r="F38" s="109">
        <v>0</v>
      </c>
      <c r="G38" s="36">
        <f>C38*G17</f>
        <v>70.400000000000006</v>
      </c>
      <c r="H38" s="38">
        <f t="shared" si="22"/>
        <v>0.22700000000000001</v>
      </c>
      <c r="I38" s="36">
        <f t="shared" si="23"/>
        <v>0</v>
      </c>
      <c r="J38" s="38">
        <f t="shared" si="28"/>
        <v>0</v>
      </c>
      <c r="K38" s="344"/>
      <c r="L38" s="38">
        <f t="shared" si="24"/>
        <v>0</v>
      </c>
      <c r="M38" s="38">
        <f t="shared" si="25"/>
        <v>0</v>
      </c>
      <c r="N38" s="38">
        <f t="shared" si="26"/>
        <v>0</v>
      </c>
      <c r="O38" s="106">
        <f>E37*J38</f>
        <v>0</v>
      </c>
      <c r="P38" s="106">
        <f t="shared" si="27"/>
        <v>0</v>
      </c>
      <c r="Q38" s="106">
        <f t="shared" si="12"/>
        <v>0</v>
      </c>
      <c r="R38" s="117">
        <f t="shared" si="13"/>
        <v>0</v>
      </c>
    </row>
    <row r="39" spans="1:18" x14ac:dyDescent="0.25">
      <c r="A39" s="39" t="s">
        <v>73</v>
      </c>
      <c r="B39" s="35" t="s">
        <v>40</v>
      </c>
      <c r="C39" s="106">
        <v>53</v>
      </c>
      <c r="D39" s="220"/>
      <c r="E39" s="220"/>
      <c r="F39" s="109">
        <v>27</v>
      </c>
      <c r="G39" s="36">
        <f>C39*G17</f>
        <v>58.3</v>
      </c>
      <c r="H39" s="38">
        <f t="shared" si="22"/>
        <v>0.27400000000000002</v>
      </c>
      <c r="I39" s="36">
        <f t="shared" si="23"/>
        <v>3.71</v>
      </c>
      <c r="J39" s="38">
        <f t="shared" si="28"/>
        <v>7.41</v>
      </c>
      <c r="K39" s="344"/>
      <c r="L39" s="38">
        <f t="shared" si="24"/>
        <v>0</v>
      </c>
      <c r="M39" s="38">
        <f t="shared" si="25"/>
        <v>0</v>
      </c>
      <c r="N39" s="38">
        <f t="shared" si="26"/>
        <v>0</v>
      </c>
      <c r="O39" s="106">
        <f>E37*J39</f>
        <v>260.98</v>
      </c>
      <c r="P39" s="106">
        <f t="shared" si="27"/>
        <v>130.49</v>
      </c>
      <c r="Q39" s="106">
        <f t="shared" si="12"/>
        <v>86.12</v>
      </c>
      <c r="R39" s="117">
        <f t="shared" si="13"/>
        <v>477.59</v>
      </c>
    </row>
    <row r="40" spans="1:18" ht="14.4" x14ac:dyDescent="0.3">
      <c r="A40" s="55" t="s">
        <v>113</v>
      </c>
      <c r="B40" s="35" t="s">
        <v>40</v>
      </c>
      <c r="C40" s="106">
        <f>C42*0.88</f>
        <v>114.4</v>
      </c>
      <c r="D40" s="37" t="s">
        <v>43</v>
      </c>
      <c r="E40" s="220">
        <v>35.22</v>
      </c>
      <c r="F40" s="109">
        <v>59</v>
      </c>
      <c r="G40" s="36">
        <f>C40*G17</f>
        <v>125.84</v>
      </c>
      <c r="H40" s="38">
        <f t="shared" si="22"/>
        <v>0.127</v>
      </c>
      <c r="I40" s="36">
        <f t="shared" si="23"/>
        <v>3.75</v>
      </c>
      <c r="J40" s="38">
        <f t="shared" si="28"/>
        <v>7.5019999999999998</v>
      </c>
      <c r="K40" s="344"/>
      <c r="L40" s="38">
        <f t="shared" si="24"/>
        <v>0</v>
      </c>
      <c r="M40" s="38">
        <f t="shared" si="25"/>
        <v>0</v>
      </c>
      <c r="N40" s="38">
        <f t="shared" si="26"/>
        <v>0</v>
      </c>
      <c r="O40" s="106">
        <f>E40*J40</f>
        <v>264.22000000000003</v>
      </c>
      <c r="P40" s="106">
        <f t="shared" si="27"/>
        <v>132.11000000000001</v>
      </c>
      <c r="Q40" s="106">
        <f t="shared" si="12"/>
        <v>87.19</v>
      </c>
      <c r="R40" s="117">
        <f t="shared" si="13"/>
        <v>483.52</v>
      </c>
    </row>
    <row r="41" spans="1:18" x14ac:dyDescent="0.25">
      <c r="A41" s="39" t="s">
        <v>72</v>
      </c>
      <c r="B41" s="35" t="s">
        <v>40</v>
      </c>
      <c r="C41" s="106">
        <v>167</v>
      </c>
      <c r="D41" s="220"/>
      <c r="E41" s="220"/>
      <c r="F41" s="109">
        <v>142</v>
      </c>
      <c r="G41" s="36">
        <f>C41*G17</f>
        <v>183.7</v>
      </c>
      <c r="H41" s="38">
        <f t="shared" si="22"/>
        <v>8.6999999999999994E-2</v>
      </c>
      <c r="I41" s="36">
        <f t="shared" si="23"/>
        <v>6.18</v>
      </c>
      <c r="J41" s="38">
        <f t="shared" si="28"/>
        <v>12.368</v>
      </c>
      <c r="K41" s="344"/>
      <c r="L41" s="38">
        <f t="shared" si="24"/>
        <v>0</v>
      </c>
      <c r="M41" s="38">
        <f t="shared" si="25"/>
        <v>0</v>
      </c>
      <c r="N41" s="38">
        <f t="shared" si="26"/>
        <v>0</v>
      </c>
      <c r="O41" s="106">
        <f>E40*J41</f>
        <v>435.6</v>
      </c>
      <c r="P41" s="106">
        <f t="shared" si="27"/>
        <v>217.8</v>
      </c>
      <c r="Q41" s="106">
        <f t="shared" si="12"/>
        <v>143.75</v>
      </c>
      <c r="R41" s="117">
        <f t="shared" si="13"/>
        <v>797.15</v>
      </c>
    </row>
    <row r="42" spans="1:18" x14ac:dyDescent="0.25">
      <c r="A42" s="39" t="s">
        <v>73</v>
      </c>
      <c r="B42" s="35" t="s">
        <v>40</v>
      </c>
      <c r="C42" s="106">
        <v>130</v>
      </c>
      <c r="D42" s="220"/>
      <c r="E42" s="220"/>
      <c r="F42" s="109">
        <v>264</v>
      </c>
      <c r="G42" s="36">
        <f>C42*G17</f>
        <v>143</v>
      </c>
      <c r="H42" s="38">
        <f>16/G42</f>
        <v>0.112</v>
      </c>
      <c r="I42" s="36">
        <f>J42/2</f>
        <v>14.77</v>
      </c>
      <c r="J42" s="38">
        <f>F42/G42*16</f>
        <v>29.538</v>
      </c>
      <c r="K42" s="344"/>
      <c r="L42" s="38">
        <f t="shared" si="24"/>
        <v>0</v>
      </c>
      <c r="M42" s="38">
        <f t="shared" si="25"/>
        <v>0</v>
      </c>
      <c r="N42" s="38">
        <f t="shared" si="26"/>
        <v>0</v>
      </c>
      <c r="O42" s="106">
        <f>E40*J42</f>
        <v>1040.33</v>
      </c>
      <c r="P42" s="106">
        <f t="shared" si="27"/>
        <v>520.16999999999996</v>
      </c>
      <c r="Q42" s="106">
        <f t="shared" si="12"/>
        <v>343.31</v>
      </c>
      <c r="R42" s="117">
        <f t="shared" si="13"/>
        <v>1903.81</v>
      </c>
    </row>
    <row r="43" spans="1:18" ht="14.4" x14ac:dyDescent="0.3">
      <c r="A43" s="55" t="s">
        <v>114</v>
      </c>
      <c r="B43" s="35" t="s">
        <v>40</v>
      </c>
      <c r="C43" s="106">
        <f>C45*0.88</f>
        <v>40.479999999999997</v>
      </c>
      <c r="D43" s="37" t="s">
        <v>43</v>
      </c>
      <c r="E43" s="220">
        <v>35.22</v>
      </c>
      <c r="F43" s="109">
        <v>20</v>
      </c>
      <c r="G43" s="36">
        <f>C43*G17</f>
        <v>44.53</v>
      </c>
      <c r="H43" s="38">
        <f t="shared" si="22"/>
        <v>0.35899999999999999</v>
      </c>
      <c r="I43" s="36">
        <f t="shared" si="23"/>
        <v>3.59</v>
      </c>
      <c r="J43" s="38">
        <f t="shared" si="28"/>
        <v>7.1859999999999999</v>
      </c>
      <c r="K43" s="344"/>
      <c r="L43" s="38">
        <f t="shared" si="24"/>
        <v>0</v>
      </c>
      <c r="M43" s="38">
        <f t="shared" si="25"/>
        <v>0</v>
      </c>
      <c r="N43" s="38">
        <f t="shared" si="26"/>
        <v>0</v>
      </c>
      <c r="O43" s="106">
        <f>E43*J43</f>
        <v>253.09</v>
      </c>
      <c r="P43" s="106">
        <f t="shared" si="27"/>
        <v>126.55</v>
      </c>
      <c r="Q43" s="106">
        <f t="shared" si="12"/>
        <v>83.52</v>
      </c>
      <c r="R43" s="117">
        <f t="shared" si="13"/>
        <v>463.16</v>
      </c>
    </row>
    <row r="44" spans="1:18" x14ac:dyDescent="0.25">
      <c r="A44" s="39" t="s">
        <v>72</v>
      </c>
      <c r="B44" s="35" t="s">
        <v>40</v>
      </c>
      <c r="C44" s="106">
        <v>57</v>
      </c>
      <c r="D44" s="220"/>
      <c r="E44" s="220"/>
      <c r="F44" s="109">
        <v>117</v>
      </c>
      <c r="G44" s="36">
        <f>C44*G17</f>
        <v>62.7</v>
      </c>
      <c r="H44" s="38">
        <f t="shared" si="22"/>
        <v>0.255</v>
      </c>
      <c r="I44" s="36">
        <f t="shared" si="23"/>
        <v>14.93</v>
      </c>
      <c r="J44" s="38">
        <f t="shared" si="28"/>
        <v>29.856000000000002</v>
      </c>
      <c r="K44" s="344"/>
      <c r="L44" s="38">
        <f t="shared" si="24"/>
        <v>0</v>
      </c>
      <c r="M44" s="38">
        <f t="shared" si="25"/>
        <v>0</v>
      </c>
      <c r="N44" s="38">
        <f t="shared" si="26"/>
        <v>0</v>
      </c>
      <c r="O44" s="106">
        <f>E43*J44</f>
        <v>1051.53</v>
      </c>
      <c r="P44" s="106">
        <f t="shared" si="27"/>
        <v>525.77</v>
      </c>
      <c r="Q44" s="106">
        <f t="shared" si="12"/>
        <v>347.01</v>
      </c>
      <c r="R44" s="117">
        <f t="shared" si="13"/>
        <v>1924.31</v>
      </c>
    </row>
    <row r="45" spans="1:18" x14ac:dyDescent="0.25">
      <c r="A45" s="39" t="s">
        <v>73</v>
      </c>
      <c r="B45" s="35" t="s">
        <v>40</v>
      </c>
      <c r="C45" s="106">
        <v>46</v>
      </c>
      <c r="D45" s="220"/>
      <c r="E45" s="220"/>
      <c r="F45" s="109">
        <v>180</v>
      </c>
      <c r="G45" s="36">
        <f>C45*G17</f>
        <v>50.6</v>
      </c>
      <c r="H45" s="38">
        <f t="shared" si="22"/>
        <v>0.316</v>
      </c>
      <c r="I45" s="36">
        <f t="shared" si="23"/>
        <v>28.46</v>
      </c>
      <c r="J45" s="38">
        <f t="shared" si="28"/>
        <v>56.917000000000002</v>
      </c>
      <c r="K45" s="344"/>
      <c r="L45" s="38">
        <f t="shared" si="24"/>
        <v>0</v>
      </c>
      <c r="M45" s="38">
        <f t="shared" si="25"/>
        <v>0</v>
      </c>
      <c r="N45" s="38">
        <f t="shared" si="26"/>
        <v>0</v>
      </c>
      <c r="O45" s="106">
        <f>E43*J45</f>
        <v>2004.62</v>
      </c>
      <c r="P45" s="106">
        <f t="shared" si="27"/>
        <v>1002.31</v>
      </c>
      <c r="Q45" s="106">
        <f t="shared" si="12"/>
        <v>661.52</v>
      </c>
      <c r="R45" s="117">
        <f t="shared" si="13"/>
        <v>3668.45</v>
      </c>
    </row>
    <row r="46" spans="1:18" x14ac:dyDescent="0.25">
      <c r="A46" s="358" t="s">
        <v>44</v>
      </c>
      <c r="B46" s="40"/>
      <c r="C46" s="343"/>
      <c r="D46" s="220"/>
      <c r="E46" s="220"/>
      <c r="F46" s="109"/>
      <c r="G46" s="59"/>
      <c r="H46" s="38"/>
      <c r="I46" s="36"/>
      <c r="J46" s="38"/>
      <c r="K46" s="344"/>
      <c r="L46" s="38"/>
      <c r="M46" s="38"/>
      <c r="N46" s="38"/>
      <c r="O46" s="106"/>
      <c r="P46" s="106"/>
      <c r="Q46" s="106"/>
      <c r="R46" s="117"/>
    </row>
    <row r="47" spans="1:18" x14ac:dyDescent="0.25">
      <c r="A47" s="39" t="s">
        <v>42</v>
      </c>
      <c r="B47" s="35" t="s">
        <v>40</v>
      </c>
      <c r="C47" s="107">
        <f>C49*0.88</f>
        <v>58.08</v>
      </c>
      <c r="D47" s="59">
        <v>3</v>
      </c>
      <c r="E47" s="220">
        <v>27.45</v>
      </c>
      <c r="F47" s="109">
        <v>79</v>
      </c>
      <c r="G47" s="56">
        <f>C47*G17</f>
        <v>63.89</v>
      </c>
      <c r="H47" s="38">
        <f>8/G47</f>
        <v>0.125</v>
      </c>
      <c r="I47" s="36"/>
      <c r="J47" s="38">
        <f>F47/G47*8</f>
        <v>9.8919999999999995</v>
      </c>
      <c r="K47" s="344"/>
      <c r="L47" s="38"/>
      <c r="M47" s="38"/>
      <c r="N47" s="38"/>
      <c r="O47" s="106">
        <f>E47*J47</f>
        <v>271.54000000000002</v>
      </c>
      <c r="P47" s="106">
        <f>O47*0.5</f>
        <v>135.77000000000001</v>
      </c>
      <c r="Q47" s="106">
        <f t="shared" si="12"/>
        <v>89.61</v>
      </c>
      <c r="R47" s="117">
        <f t="shared" si="13"/>
        <v>496.92</v>
      </c>
    </row>
    <row r="48" spans="1:18" x14ac:dyDescent="0.25">
      <c r="A48" s="39" t="s">
        <v>72</v>
      </c>
      <c r="B48" s="35" t="s">
        <v>40</v>
      </c>
      <c r="C48" s="107">
        <v>88</v>
      </c>
      <c r="D48" s="36"/>
      <c r="E48" s="36"/>
      <c r="F48" s="109">
        <v>363</v>
      </c>
      <c r="G48" s="36">
        <f>C48*G17</f>
        <v>96.8</v>
      </c>
      <c r="H48" s="38">
        <f>8/G48</f>
        <v>8.3000000000000004E-2</v>
      </c>
      <c r="I48" s="36"/>
      <c r="J48" s="38">
        <f>F48/G48*8</f>
        <v>30</v>
      </c>
      <c r="K48" s="344"/>
      <c r="L48" s="38"/>
      <c r="M48" s="38"/>
      <c r="N48" s="38"/>
      <c r="O48" s="106">
        <f>E47*J48</f>
        <v>823.5</v>
      </c>
      <c r="P48" s="106">
        <f t="shared" ref="P48:P49" si="29">O48*0.5</f>
        <v>411.75</v>
      </c>
      <c r="Q48" s="106">
        <f t="shared" si="12"/>
        <v>271.76</v>
      </c>
      <c r="R48" s="117">
        <f t="shared" si="13"/>
        <v>1507.01</v>
      </c>
    </row>
    <row r="49" spans="1:20" x14ac:dyDescent="0.25">
      <c r="A49" s="39" t="s">
        <v>73</v>
      </c>
      <c r="B49" s="35" t="s">
        <v>40</v>
      </c>
      <c r="C49" s="107">
        <v>66</v>
      </c>
      <c r="D49" s="36"/>
      <c r="E49" s="36"/>
      <c r="F49" s="109">
        <v>726</v>
      </c>
      <c r="G49" s="36">
        <f>C49*G17</f>
        <v>72.599999999999994</v>
      </c>
      <c r="H49" s="38">
        <f>8/G49</f>
        <v>0.11</v>
      </c>
      <c r="I49" s="58"/>
      <c r="J49" s="38">
        <f>F49/G49*8</f>
        <v>80</v>
      </c>
      <c r="K49" s="344"/>
      <c r="L49" s="38"/>
      <c r="M49" s="38"/>
      <c r="N49" s="38"/>
      <c r="O49" s="106">
        <f>E47*J49</f>
        <v>2196</v>
      </c>
      <c r="P49" s="106">
        <f t="shared" si="29"/>
        <v>1098</v>
      </c>
      <c r="Q49" s="106">
        <f t="shared" si="12"/>
        <v>724.68</v>
      </c>
      <c r="R49" s="117">
        <f t="shared" si="13"/>
        <v>4018.68</v>
      </c>
    </row>
    <row r="50" spans="1:20" x14ac:dyDescent="0.25">
      <c r="A50" s="358" t="s">
        <v>45</v>
      </c>
      <c r="B50" s="40"/>
      <c r="C50" s="107"/>
      <c r="D50" s="36"/>
      <c r="E50" s="36"/>
      <c r="F50" s="109"/>
      <c r="G50" s="36"/>
      <c r="H50" s="38"/>
      <c r="I50" s="58"/>
      <c r="J50" s="349"/>
      <c r="K50" s="350"/>
      <c r="L50" s="349"/>
      <c r="M50" s="349"/>
      <c r="N50" s="349"/>
      <c r="O50" s="106"/>
      <c r="P50" s="106"/>
      <c r="Q50" s="106"/>
      <c r="R50" s="117"/>
    </row>
    <row r="51" spans="1:20" x14ac:dyDescent="0.25">
      <c r="A51" s="39" t="s">
        <v>42</v>
      </c>
      <c r="B51" s="35" t="s">
        <v>40</v>
      </c>
      <c r="C51" s="107">
        <v>5.7</v>
      </c>
      <c r="D51" s="59">
        <v>3</v>
      </c>
      <c r="E51" s="220">
        <v>27.45</v>
      </c>
      <c r="F51" s="109">
        <f>F43</f>
        <v>20</v>
      </c>
      <c r="G51" s="56">
        <f>C51*0.9</f>
        <v>5.13</v>
      </c>
      <c r="H51" s="38">
        <f>8/G51</f>
        <v>1.5589999999999999</v>
      </c>
      <c r="I51" s="36"/>
      <c r="J51" s="38">
        <f>F51/G51*8</f>
        <v>31.189</v>
      </c>
      <c r="K51" s="344"/>
      <c r="L51" s="38"/>
      <c r="M51" s="38"/>
      <c r="N51" s="38"/>
      <c r="O51" s="106">
        <f>E51*J51</f>
        <v>856.14</v>
      </c>
      <c r="P51" s="106">
        <f>O51*0.5</f>
        <v>428.07</v>
      </c>
      <c r="Q51" s="106">
        <f t="shared" si="12"/>
        <v>282.52999999999997</v>
      </c>
      <c r="R51" s="117">
        <f t="shared" si="13"/>
        <v>1566.74</v>
      </c>
    </row>
    <row r="52" spans="1:20" x14ac:dyDescent="0.25">
      <c r="A52" s="39" t="s">
        <v>72</v>
      </c>
      <c r="B52" s="35" t="s">
        <v>40</v>
      </c>
      <c r="C52" s="107">
        <v>7.1</v>
      </c>
      <c r="D52" s="36"/>
      <c r="E52" s="36"/>
      <c r="F52" s="109">
        <f>F44</f>
        <v>117</v>
      </c>
      <c r="G52" s="36">
        <f>C52*0.9</f>
        <v>6.39</v>
      </c>
      <c r="H52" s="38">
        <f>8/G52</f>
        <v>1.252</v>
      </c>
      <c r="I52" s="36"/>
      <c r="J52" s="38">
        <f>F52/G52*8</f>
        <v>146.47900000000001</v>
      </c>
      <c r="K52" s="344"/>
      <c r="L52" s="38"/>
      <c r="M52" s="38"/>
      <c r="N52" s="38"/>
      <c r="O52" s="106">
        <f>E51*J52</f>
        <v>4020.85</v>
      </c>
      <c r="P52" s="106">
        <f t="shared" ref="P52:P53" si="30">O52*0.5</f>
        <v>2010.43</v>
      </c>
      <c r="Q52" s="106">
        <f t="shared" si="12"/>
        <v>1326.88</v>
      </c>
      <c r="R52" s="117">
        <f t="shared" si="13"/>
        <v>7358.16</v>
      </c>
    </row>
    <row r="53" spans="1:20" x14ac:dyDescent="0.25">
      <c r="A53" s="39" t="s">
        <v>73</v>
      </c>
      <c r="B53" s="35" t="s">
        <v>40</v>
      </c>
      <c r="C53" s="107">
        <v>5.7</v>
      </c>
      <c r="D53" s="36"/>
      <c r="E53" s="36"/>
      <c r="F53" s="109">
        <f>F45</f>
        <v>180</v>
      </c>
      <c r="G53" s="36">
        <f>C53*0.9</f>
        <v>5.13</v>
      </c>
      <c r="H53" s="38">
        <f>8/G53</f>
        <v>1.5589999999999999</v>
      </c>
      <c r="I53" s="36"/>
      <c r="J53" s="38">
        <f>F53/G53*8</f>
        <v>280.702</v>
      </c>
      <c r="K53" s="344"/>
      <c r="L53" s="38"/>
      <c r="M53" s="38"/>
      <c r="N53" s="38"/>
      <c r="O53" s="106">
        <f>E51*J53</f>
        <v>7705.27</v>
      </c>
      <c r="P53" s="106">
        <f t="shared" si="30"/>
        <v>3852.64</v>
      </c>
      <c r="Q53" s="106">
        <f t="shared" si="12"/>
        <v>2542.7399999999998</v>
      </c>
      <c r="R53" s="117">
        <f>O53+P53+Q53</f>
        <v>14100.65</v>
      </c>
    </row>
    <row r="54" spans="1:20" x14ac:dyDescent="0.25">
      <c r="A54" s="359" t="s">
        <v>156</v>
      </c>
      <c r="B54" s="345"/>
      <c r="C54" s="107"/>
      <c r="D54" s="343"/>
      <c r="E54" s="345"/>
      <c r="F54" s="346"/>
      <c r="G54" s="107"/>
      <c r="H54" s="347"/>
      <c r="I54" s="107"/>
      <c r="J54" s="347"/>
      <c r="K54" s="348"/>
      <c r="L54" s="347"/>
      <c r="M54" s="347"/>
      <c r="N54" s="347"/>
      <c r="O54" s="106"/>
      <c r="P54" s="106"/>
      <c r="Q54" s="106"/>
      <c r="R54" s="117"/>
      <c r="T54" s="8"/>
    </row>
    <row r="55" spans="1:20" x14ac:dyDescent="0.25">
      <c r="A55" s="360" t="s">
        <v>42</v>
      </c>
      <c r="B55" s="35" t="s">
        <v>40</v>
      </c>
      <c r="C55" s="106">
        <f>C57</f>
        <v>2.4</v>
      </c>
      <c r="D55" s="220">
        <v>3</v>
      </c>
      <c r="E55" s="220">
        <v>27.45</v>
      </c>
      <c r="F55" s="109">
        <v>4</v>
      </c>
      <c r="G55" s="36">
        <f>C55</f>
        <v>2.4</v>
      </c>
      <c r="H55" s="38">
        <f>8/G55</f>
        <v>3.3330000000000002</v>
      </c>
      <c r="I55" s="36"/>
      <c r="J55" s="38">
        <f>F55/G55*8</f>
        <v>13.333</v>
      </c>
      <c r="K55" s="344"/>
      <c r="L55" s="38"/>
      <c r="M55" s="38"/>
      <c r="N55" s="38"/>
      <c r="O55" s="106">
        <f>E55*J55</f>
        <v>365.99</v>
      </c>
      <c r="P55" s="106">
        <f>O55*0.5</f>
        <v>183</v>
      </c>
      <c r="Q55" s="106">
        <f t="shared" si="12"/>
        <v>120.78</v>
      </c>
      <c r="R55" s="117">
        <f t="shared" ref="R55:R57" si="31">O55+P55+Q55</f>
        <v>669.77</v>
      </c>
    </row>
    <row r="56" spans="1:20" x14ac:dyDescent="0.25">
      <c r="A56" s="360" t="s">
        <v>72</v>
      </c>
      <c r="B56" s="35" t="s">
        <v>40</v>
      </c>
      <c r="C56" s="106">
        <v>3.4</v>
      </c>
      <c r="D56" s="40"/>
      <c r="E56" s="220"/>
      <c r="F56" s="109">
        <v>10</v>
      </c>
      <c r="G56" s="36">
        <f t="shared" ref="G56:G57" si="32">C56</f>
        <v>3.4</v>
      </c>
      <c r="H56" s="38">
        <f>8/G56</f>
        <v>2.3530000000000002</v>
      </c>
      <c r="I56" s="36"/>
      <c r="J56" s="38">
        <f>F56/G56*8</f>
        <v>23.529</v>
      </c>
      <c r="K56" s="344"/>
      <c r="L56" s="38"/>
      <c r="M56" s="38"/>
      <c r="N56" s="38"/>
      <c r="O56" s="106">
        <f>E55*J56</f>
        <v>645.87</v>
      </c>
      <c r="P56" s="106">
        <f t="shared" ref="P56:P57" si="33">O56*0.5</f>
        <v>322.94</v>
      </c>
      <c r="Q56" s="106">
        <f t="shared" si="12"/>
        <v>213.14</v>
      </c>
      <c r="R56" s="117">
        <f t="shared" si="31"/>
        <v>1181.95</v>
      </c>
    </row>
    <row r="57" spans="1:20" x14ac:dyDescent="0.25">
      <c r="A57" s="360" t="s">
        <v>73</v>
      </c>
      <c r="B57" s="35" t="s">
        <v>40</v>
      </c>
      <c r="C57" s="106">
        <v>2.4</v>
      </c>
      <c r="D57" s="220"/>
      <c r="E57" s="220"/>
      <c r="F57" s="109">
        <v>70</v>
      </c>
      <c r="G57" s="36">
        <f t="shared" si="32"/>
        <v>2.4</v>
      </c>
      <c r="H57" s="38">
        <f>8/G57</f>
        <v>3.3330000000000002</v>
      </c>
      <c r="I57" s="36"/>
      <c r="J57" s="38">
        <f>F57/G57*8</f>
        <v>233.333</v>
      </c>
      <c r="K57" s="344"/>
      <c r="L57" s="38"/>
      <c r="M57" s="38"/>
      <c r="N57" s="38"/>
      <c r="O57" s="106">
        <f>E55*J57</f>
        <v>6404.99</v>
      </c>
      <c r="P57" s="106">
        <f t="shared" si="33"/>
        <v>3202.5</v>
      </c>
      <c r="Q57" s="106">
        <f t="shared" si="12"/>
        <v>2113.65</v>
      </c>
      <c r="R57" s="117">
        <f t="shared" si="31"/>
        <v>11721.14</v>
      </c>
    </row>
    <row r="58" spans="1:20" x14ac:dyDescent="0.25">
      <c r="A58" s="356" t="s">
        <v>46</v>
      </c>
      <c r="B58" s="40"/>
      <c r="C58" s="40"/>
      <c r="D58" s="220"/>
      <c r="E58" s="220"/>
      <c r="F58" s="109">
        <f>F34+F35+F36+F37+F38+F39+F40+F41+F42+F43+F44+F45</f>
        <v>1168</v>
      </c>
      <c r="G58" s="220"/>
      <c r="H58" s="220"/>
      <c r="I58" s="36">
        <f>SUM(I18:I57)</f>
        <v>786.49</v>
      </c>
      <c r="J58" s="36">
        <f>SUM(J18:J57)</f>
        <v>2014.86</v>
      </c>
      <c r="K58" s="342"/>
      <c r="L58" s="351">
        <f t="shared" ref="L58:N58" si="34">SUM(L18:L57)</f>
        <v>0</v>
      </c>
      <c r="M58" s="351">
        <f t="shared" si="34"/>
        <v>0</v>
      </c>
      <c r="N58" s="351">
        <f t="shared" si="34"/>
        <v>0</v>
      </c>
      <c r="O58" s="106">
        <f>SUM(O18:O57)</f>
        <v>59837.23</v>
      </c>
      <c r="P58" s="106">
        <f>O58*0.5</f>
        <v>29918.62</v>
      </c>
      <c r="Q58" s="106">
        <f>SUM(Q18:Q57)</f>
        <v>19746.310000000001</v>
      </c>
      <c r="R58" s="117">
        <f>SUM(R18:R57)</f>
        <v>109502.22</v>
      </c>
    </row>
    <row r="59" spans="1:20" x14ac:dyDescent="0.25">
      <c r="A59" s="361" t="s">
        <v>47</v>
      </c>
      <c r="B59" s="40"/>
      <c r="C59" s="40"/>
      <c r="D59" s="220"/>
      <c r="E59" s="220"/>
      <c r="F59" s="220"/>
      <c r="G59" s="220"/>
      <c r="H59" s="220"/>
      <c r="I59" s="220"/>
      <c r="J59" s="220"/>
      <c r="K59" s="342"/>
      <c r="L59" s="220">
        <v>23.33</v>
      </c>
      <c r="M59" s="220">
        <v>26</v>
      </c>
      <c r="N59" s="220">
        <v>100</v>
      </c>
      <c r="O59" s="106"/>
      <c r="P59" s="106">
        <f t="shared" ref="P59:P60" si="35">O59*0.5</f>
        <v>0</v>
      </c>
      <c r="Q59" s="106"/>
      <c r="R59" s="117"/>
    </row>
    <row r="60" spans="1:20" ht="13.8" customHeight="1" x14ac:dyDescent="0.25">
      <c r="A60" s="361" t="s">
        <v>48</v>
      </c>
      <c r="B60" s="40"/>
      <c r="C60" s="40"/>
      <c r="D60" s="220"/>
      <c r="E60" s="220"/>
      <c r="F60" s="220"/>
      <c r="G60" s="220"/>
      <c r="H60" s="220"/>
      <c r="I60" s="220"/>
      <c r="J60" s="220"/>
      <c r="K60" s="342"/>
      <c r="L60" s="36">
        <f>L58*L59</f>
        <v>0</v>
      </c>
      <c r="M60" s="36">
        <f t="shared" ref="M60:N60" si="36">M58*M59</f>
        <v>0</v>
      </c>
      <c r="N60" s="36">
        <f t="shared" si="36"/>
        <v>0</v>
      </c>
      <c r="O60" s="106"/>
      <c r="P60" s="106">
        <f t="shared" si="35"/>
        <v>0</v>
      </c>
      <c r="Q60" s="106"/>
      <c r="R60" s="117">
        <f>L60+M60+N60</f>
        <v>0</v>
      </c>
    </row>
    <row r="61" spans="1:20" ht="13.8" thickBot="1" x14ac:dyDescent="0.3">
      <c r="A61" s="362" t="s">
        <v>49</v>
      </c>
      <c r="B61" s="44"/>
      <c r="C61" s="44"/>
      <c r="D61" s="43"/>
      <c r="E61" s="43"/>
      <c r="F61" s="43"/>
      <c r="G61" s="43"/>
      <c r="H61" s="43"/>
      <c r="I61" s="43"/>
      <c r="J61" s="43"/>
      <c r="K61" s="363"/>
      <c r="L61" s="43"/>
      <c r="M61" s="43"/>
      <c r="N61" s="43"/>
      <c r="O61" s="364">
        <f>O58+O60</f>
        <v>59837.23</v>
      </c>
      <c r="P61" s="364">
        <f>P58+P60</f>
        <v>29918.62</v>
      </c>
      <c r="Q61" s="364">
        <f>Q58+Q60</f>
        <v>19746.310000000001</v>
      </c>
      <c r="R61" s="118">
        <f>R58+R60</f>
        <v>109502.22</v>
      </c>
    </row>
    <row r="62" spans="1:20" ht="14.4" customHeight="1" thickBot="1" x14ac:dyDescent="0.3">
      <c r="A62" s="74"/>
      <c r="B62" s="72"/>
      <c r="C62" s="72"/>
      <c r="D62" s="75"/>
      <c r="E62" s="75"/>
      <c r="F62" s="76"/>
      <c r="G62" s="75"/>
      <c r="H62" s="75"/>
      <c r="I62" s="75"/>
      <c r="J62" s="77"/>
      <c r="K62" s="335"/>
      <c r="L62" s="77"/>
      <c r="M62" s="77"/>
      <c r="N62" s="77"/>
      <c r="O62" s="75"/>
      <c r="P62" s="75"/>
      <c r="Q62" s="75"/>
      <c r="R62" s="75"/>
    </row>
    <row r="63" spans="1:20" ht="30" customHeight="1" x14ac:dyDescent="0.25">
      <c r="A63" s="78"/>
      <c r="B63" s="2"/>
      <c r="C63" s="2"/>
      <c r="D63" s="224" t="s">
        <v>50</v>
      </c>
      <c r="E63" s="225"/>
      <c r="F63" s="226" t="s">
        <v>51</v>
      </c>
      <c r="G63" s="227"/>
      <c r="H63" s="226" t="s">
        <v>52</v>
      </c>
      <c r="I63" s="228"/>
      <c r="J63" s="229"/>
      <c r="K63" s="336"/>
      <c r="L63" s="94"/>
      <c r="M63" s="94"/>
      <c r="N63" s="94"/>
      <c r="O63" s="75"/>
      <c r="P63" s="75"/>
      <c r="Q63" s="75"/>
      <c r="R63" s="75"/>
    </row>
    <row r="64" spans="1:20" ht="15.6" x14ac:dyDescent="0.3">
      <c r="A64" s="79" t="s">
        <v>86</v>
      </c>
      <c r="B64" s="80">
        <f>F58</f>
        <v>1168</v>
      </c>
      <c r="C64" s="2"/>
      <c r="D64" s="238">
        <f>(R58)/B64</f>
        <v>93.751999999999995</v>
      </c>
      <c r="E64" s="239"/>
      <c r="F64" s="240">
        <f>(O61/B64)*1.215</f>
        <v>62.244999999999997</v>
      </c>
      <c r="G64" s="239"/>
      <c r="H64" s="241">
        <f>D64-F64</f>
        <v>31.507000000000001</v>
      </c>
      <c r="I64" s="242"/>
      <c r="J64" s="243"/>
      <c r="K64" s="337"/>
      <c r="L64" s="204"/>
      <c r="M64" s="204"/>
      <c r="N64" s="204"/>
      <c r="O64" s="75"/>
      <c r="P64" s="75"/>
      <c r="Q64" s="75"/>
      <c r="R64" s="75"/>
    </row>
    <row r="65" spans="1:18" ht="15.6" x14ac:dyDescent="0.3">
      <c r="A65" s="81"/>
      <c r="B65" s="2"/>
      <c r="C65" s="2"/>
      <c r="D65" s="238"/>
      <c r="E65" s="239"/>
      <c r="F65" s="240"/>
      <c r="G65" s="239"/>
      <c r="H65" s="241"/>
      <c r="I65" s="242"/>
      <c r="J65" s="243"/>
      <c r="K65" s="337"/>
      <c r="L65" s="204"/>
      <c r="M65" s="204"/>
      <c r="N65" s="204"/>
      <c r="O65" s="75"/>
      <c r="P65" s="75"/>
      <c r="Q65" s="75"/>
      <c r="R65" s="75"/>
    </row>
    <row r="66" spans="1:18" ht="15.6" x14ac:dyDescent="0.3">
      <c r="A66" s="79" t="s">
        <v>105</v>
      </c>
      <c r="B66" s="80">
        <f>B64</f>
        <v>1168</v>
      </c>
      <c r="C66" s="72"/>
      <c r="D66" s="238">
        <f>(R18+R22+R23+R24+R26+R27+R28+R30+R31+R32+R55+R56+R57+R20)/B66</f>
        <v>53.646999999999998</v>
      </c>
      <c r="E66" s="239"/>
      <c r="F66" s="240">
        <f>((O18+O22+O23+O24+O26+O27+O28+O30+O31+O32+R55+R56+R57+O20)*1.215)/B66</f>
        <v>42.021999999999998</v>
      </c>
      <c r="G66" s="239"/>
      <c r="H66" s="241">
        <f>D66-F66</f>
        <v>11.625</v>
      </c>
      <c r="I66" s="242"/>
      <c r="J66" s="243"/>
      <c r="K66" s="337"/>
      <c r="L66" s="204"/>
      <c r="M66" s="204"/>
      <c r="N66" s="204"/>
      <c r="O66" s="75"/>
      <c r="P66" s="75"/>
      <c r="Q66" s="75"/>
      <c r="R66" s="75"/>
    </row>
    <row r="67" spans="1:18" ht="15.6" x14ac:dyDescent="0.3">
      <c r="A67" s="82"/>
      <c r="B67" s="72"/>
      <c r="C67" s="72"/>
      <c r="D67" s="83"/>
      <c r="E67" s="84"/>
      <c r="F67" s="84"/>
      <c r="G67" s="85"/>
      <c r="H67" s="75"/>
      <c r="I67" s="75"/>
      <c r="J67" s="73"/>
      <c r="K67" s="338"/>
      <c r="L67" s="73"/>
      <c r="M67" s="73"/>
      <c r="N67" s="73"/>
      <c r="O67" s="86"/>
      <c r="P67" s="86"/>
      <c r="Q67" s="87"/>
      <c r="R67" s="75"/>
    </row>
    <row r="68" spans="1:18" x14ac:dyDescent="0.25">
      <c r="A68" s="88"/>
      <c r="B68" s="89"/>
      <c r="C68" s="89"/>
      <c r="D68" s="90"/>
      <c r="E68" s="90"/>
      <c r="F68" s="72"/>
      <c r="H68" s="91"/>
      <c r="I68" s="85"/>
      <c r="J68" s="91"/>
      <c r="K68" s="339"/>
      <c r="L68" s="91"/>
      <c r="M68" s="91"/>
      <c r="N68" s="91"/>
      <c r="O68" s="92"/>
    </row>
    <row r="69" spans="1:18" x14ac:dyDescent="0.25">
      <c r="A69" s="82"/>
      <c r="B69" s="72"/>
      <c r="C69" s="72"/>
      <c r="D69" s="93"/>
      <c r="E69" s="93"/>
      <c r="F69" s="94"/>
      <c r="G69" s="94"/>
      <c r="H69" s="94"/>
      <c r="I69" s="94"/>
      <c r="J69" s="94"/>
      <c r="K69" s="336"/>
      <c r="L69" s="94"/>
      <c r="M69" s="94"/>
      <c r="N69" s="94"/>
      <c r="O69" s="95"/>
      <c r="P69" s="75"/>
      <c r="Q69" s="75"/>
      <c r="R69" s="75"/>
    </row>
    <row r="70" spans="1:18" x14ac:dyDescent="0.25">
      <c r="A70" s="72"/>
      <c r="B70" s="73"/>
      <c r="C70" s="72"/>
      <c r="D70" s="85"/>
      <c r="E70" s="85"/>
      <c r="F70" s="85"/>
      <c r="G70" s="85"/>
      <c r="H70" s="2"/>
      <c r="I70" s="2"/>
      <c r="J70" s="75"/>
      <c r="K70" s="335"/>
      <c r="L70" s="75"/>
      <c r="M70" s="75"/>
      <c r="N70" s="75"/>
      <c r="O70" s="75"/>
      <c r="P70" s="75"/>
      <c r="Q70" s="75"/>
      <c r="R70" s="75"/>
    </row>
    <row r="71" spans="1:18" x14ac:dyDescent="0.25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340"/>
      <c r="L71" s="86"/>
      <c r="M71" s="86"/>
      <c r="N71" s="86"/>
      <c r="O71" s="2"/>
      <c r="P71" s="2"/>
      <c r="Q71" s="2"/>
      <c r="R71" s="2"/>
    </row>
  </sheetData>
  <mergeCells count="51">
    <mergeCell ref="B12:F12"/>
    <mergeCell ref="I8:J8"/>
    <mergeCell ref="I9:J9"/>
    <mergeCell ref="I10:J10"/>
    <mergeCell ref="G11:H11"/>
    <mergeCell ref="I11:J11"/>
    <mergeCell ref="B10:F10"/>
    <mergeCell ref="B11:F11"/>
    <mergeCell ref="G8:H8"/>
    <mergeCell ref="G9:H9"/>
    <mergeCell ref="G10:H10"/>
    <mergeCell ref="G12:H12"/>
    <mergeCell ref="I12:J12"/>
    <mergeCell ref="D66:E66"/>
    <mergeCell ref="F66:G66"/>
    <mergeCell ref="H66:J66"/>
    <mergeCell ref="G1:O1"/>
    <mergeCell ref="A1:F1"/>
    <mergeCell ref="B6:F6"/>
    <mergeCell ref="G2:H2"/>
    <mergeCell ref="I2:J2"/>
    <mergeCell ref="B2:F2"/>
    <mergeCell ref="B7:F7"/>
    <mergeCell ref="I3:J3"/>
    <mergeCell ref="I4:J4"/>
    <mergeCell ref="I5:J5"/>
    <mergeCell ref="I6:J6"/>
    <mergeCell ref="G3:H3"/>
    <mergeCell ref="G4:H4"/>
    <mergeCell ref="D64:E64"/>
    <mergeCell ref="F64:G64"/>
    <mergeCell ref="H64:J64"/>
    <mergeCell ref="D65:E65"/>
    <mergeCell ref="F65:G65"/>
    <mergeCell ref="H65:J65"/>
    <mergeCell ref="P2:R2"/>
    <mergeCell ref="P3:R3"/>
    <mergeCell ref="P6:R6"/>
    <mergeCell ref="D63:E63"/>
    <mergeCell ref="F63:G63"/>
    <mergeCell ref="H63:J63"/>
    <mergeCell ref="G5:H5"/>
    <mergeCell ref="G6:H6"/>
    <mergeCell ref="G7:H7"/>
    <mergeCell ref="B3:F3"/>
    <mergeCell ref="B4:F4"/>
    <mergeCell ref="B5:F5"/>
    <mergeCell ref="I7:J7"/>
    <mergeCell ref="G13:H13"/>
    <mergeCell ref="B8:F8"/>
    <mergeCell ref="B9:F9"/>
  </mergeCells>
  <dataValidations count="4">
    <dataValidation type="list" allowBlank="1" showInputMessage="1" showErrorMessage="1" sqref="B6">
      <formula1>ВідШаблона</formula1>
    </dataValidation>
    <dataValidation type="list" allowBlank="1" showInputMessage="1" showErrorMessage="1" sqref="G5:G7">
      <formula1>Зона</formula1>
    </dataValidation>
    <dataValidation type="list" allowBlank="1" showInputMessage="1" showErrorMessage="1" sqref="A2">
      <formula1>ЛісВа</formula1>
    </dataValidation>
    <dataValidation type="list" allowBlank="1" showInputMessage="1" showErrorMessage="1" sqref="B7:B12">
      <formula1>табУмовиРоботи</formula1>
    </dataValidation>
  </dataValidations>
  <pageMargins left="0.98425196850393704" right="0" top="0.74803149606299213" bottom="0.74803149606299213" header="0.31496062992125984" footer="0.31496062992125984"/>
  <pageSetup paperSize="9" scale="10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opLeftCell="A13" workbookViewId="0">
      <selection activeCell="A40" sqref="A40:G40"/>
    </sheetView>
  </sheetViews>
  <sheetFormatPr defaultRowHeight="14.4" x14ac:dyDescent="0.3"/>
  <cols>
    <col min="2" max="2" width="8.88671875" customWidth="1"/>
    <col min="4" max="6" width="8.88671875" customWidth="1"/>
    <col min="7" max="7" width="9.44140625" customWidth="1"/>
    <col min="8" max="8" width="11.88671875" customWidth="1"/>
    <col min="9" max="9" width="11" customWidth="1"/>
    <col min="10" max="10" width="14.109375" customWidth="1"/>
    <col min="11" max="11" width="13.44140625" customWidth="1"/>
    <col min="13" max="13" width="17" customWidth="1"/>
    <col min="14" max="14" width="10.44140625" bestFit="1" customWidth="1"/>
  </cols>
  <sheetData>
    <row r="1" spans="1:30" x14ac:dyDescent="0.3">
      <c r="A1" s="186" t="s">
        <v>168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</row>
    <row r="2" spans="1:30" x14ac:dyDescent="0.3">
      <c r="A2" s="186" t="s">
        <v>169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</row>
    <row r="4" spans="1:30" ht="25.2" customHeight="1" x14ac:dyDescent="0.3">
      <c r="A4" s="161" t="s">
        <v>118</v>
      </c>
      <c r="B4" s="161"/>
      <c r="C4" s="294" t="s">
        <v>119</v>
      </c>
      <c r="D4" s="294"/>
      <c r="E4" s="294"/>
      <c r="F4" s="294"/>
      <c r="G4" s="294"/>
      <c r="H4" s="161" t="s">
        <v>120</v>
      </c>
      <c r="I4" s="161" t="s">
        <v>121</v>
      </c>
      <c r="J4" s="161" t="s">
        <v>122</v>
      </c>
      <c r="K4" s="161" t="s">
        <v>123</v>
      </c>
      <c r="M4" s="168" t="s">
        <v>157</v>
      </c>
      <c r="N4" s="168" t="s">
        <v>158</v>
      </c>
    </row>
    <row r="5" spans="1:30" ht="14.4" customHeight="1" x14ac:dyDescent="0.3">
      <c r="A5" s="169" t="s">
        <v>124</v>
      </c>
      <c r="B5" s="169"/>
      <c r="C5" s="295" t="s">
        <v>125</v>
      </c>
      <c r="D5" s="295"/>
      <c r="E5" s="295"/>
      <c r="F5" s="295"/>
      <c r="G5" s="295"/>
      <c r="H5" s="296"/>
      <c r="I5" s="296"/>
      <c r="J5" s="296"/>
      <c r="K5" s="169">
        <f>K6+K7+K8+K9</f>
        <v>20674.75</v>
      </c>
    </row>
    <row r="6" spans="1:30" ht="27" customHeight="1" x14ac:dyDescent="0.3">
      <c r="A6" s="170" t="s">
        <v>126</v>
      </c>
      <c r="B6" s="170"/>
      <c r="C6" s="296" t="s">
        <v>117</v>
      </c>
      <c r="D6" s="296"/>
      <c r="E6" s="296"/>
      <c r="F6" s="296"/>
      <c r="G6" s="296"/>
      <c r="H6" s="170" t="s">
        <v>38</v>
      </c>
      <c r="I6" s="169">
        <f>РГК!F18</f>
        <v>1.2</v>
      </c>
      <c r="J6" s="171">
        <f>M6</f>
        <v>212.24</v>
      </c>
      <c r="K6" s="169">
        <f>I6*J6</f>
        <v>254.69</v>
      </c>
      <c r="M6" s="173">
        <f>N6/I6</f>
        <v>212.24</v>
      </c>
      <c r="N6" s="173">
        <f>РГК!O18*1.215</f>
        <v>254.69</v>
      </c>
    </row>
    <row r="7" spans="1:30" ht="24.6" customHeight="1" x14ac:dyDescent="0.3">
      <c r="A7" s="170" t="s">
        <v>127</v>
      </c>
      <c r="B7" s="170"/>
      <c r="C7" s="296" t="s">
        <v>128</v>
      </c>
      <c r="D7" s="296"/>
      <c r="E7" s="296"/>
      <c r="F7" s="296"/>
      <c r="G7" s="296"/>
      <c r="H7" s="170" t="s">
        <v>38</v>
      </c>
      <c r="I7" s="169">
        <f>РГК!F19</f>
        <v>2.5</v>
      </c>
      <c r="J7" s="171">
        <f t="shared" ref="J7:J16" si="0">M7</f>
        <v>1010.67</v>
      </c>
      <c r="K7" s="169">
        <f t="shared" ref="K7:K16" si="1">I7*J7</f>
        <v>2526.6799999999998</v>
      </c>
      <c r="M7" s="173">
        <f t="shared" ref="M7:M9" si="2">N7/I7</f>
        <v>1010.67</v>
      </c>
      <c r="N7" s="173">
        <f>РГК!O19*1.215</f>
        <v>2526.67</v>
      </c>
    </row>
    <row r="8" spans="1:30" ht="19.2" customHeight="1" x14ac:dyDescent="0.3">
      <c r="A8" s="170" t="s">
        <v>129</v>
      </c>
      <c r="B8" s="170"/>
      <c r="C8" s="296" t="s">
        <v>130</v>
      </c>
      <c r="D8" s="296"/>
      <c r="E8" s="296"/>
      <c r="F8" s="296"/>
      <c r="G8" s="296"/>
      <c r="H8" s="170" t="s">
        <v>131</v>
      </c>
      <c r="I8" s="169">
        <f>РГК!F20</f>
        <v>1158</v>
      </c>
      <c r="J8" s="171">
        <f t="shared" si="0"/>
        <v>7.67</v>
      </c>
      <c r="K8" s="169">
        <f t="shared" si="1"/>
        <v>8881.86</v>
      </c>
      <c r="M8" s="173">
        <f t="shared" si="2"/>
        <v>7.67</v>
      </c>
      <c r="N8" s="173">
        <f>РГК!O20*1.215</f>
        <v>8886.2999999999993</v>
      </c>
    </row>
    <row r="9" spans="1:30" ht="18" customHeight="1" x14ac:dyDescent="0.3">
      <c r="A9" s="170" t="s">
        <v>132</v>
      </c>
      <c r="B9" s="170"/>
      <c r="C9" s="296" t="s">
        <v>133</v>
      </c>
      <c r="D9" s="296"/>
      <c r="E9" s="296"/>
      <c r="F9" s="296"/>
      <c r="G9" s="296"/>
      <c r="H9" s="170" t="s">
        <v>40</v>
      </c>
      <c r="I9" s="169">
        <f>РГК!F55+РГК!F56+РГК!F57</f>
        <v>84</v>
      </c>
      <c r="J9" s="171">
        <f t="shared" si="0"/>
        <v>107.28</v>
      </c>
      <c r="K9" s="169">
        <f t="shared" si="1"/>
        <v>9011.52</v>
      </c>
      <c r="M9" s="173">
        <f t="shared" si="2"/>
        <v>107.28</v>
      </c>
      <c r="N9" s="173">
        <f>(РГК!O55+РГК!O56+РГК!O57)*1.215</f>
        <v>9011.4699999999993</v>
      </c>
    </row>
    <row r="10" spans="1:30" x14ac:dyDescent="0.3">
      <c r="A10" s="169" t="s">
        <v>134</v>
      </c>
      <c r="B10" s="169"/>
      <c r="C10" s="295" t="s">
        <v>135</v>
      </c>
      <c r="D10" s="295"/>
      <c r="E10" s="295"/>
      <c r="F10" s="295"/>
      <c r="G10" s="295"/>
      <c r="H10" s="296"/>
      <c r="I10" s="296"/>
      <c r="J10" s="296"/>
      <c r="K10" s="169">
        <f>K11+K12+K13+K14+K15+K16</f>
        <v>52022.51</v>
      </c>
      <c r="M10" s="173"/>
      <c r="N10" s="173"/>
    </row>
    <row r="11" spans="1:30" ht="22.8" customHeight="1" x14ac:dyDescent="0.3">
      <c r="A11" s="170" t="s">
        <v>136</v>
      </c>
      <c r="B11" s="170"/>
      <c r="C11" s="296" t="s">
        <v>137</v>
      </c>
      <c r="D11" s="296"/>
      <c r="E11" s="296"/>
      <c r="F11" s="296"/>
      <c r="G11" s="296"/>
      <c r="H11" s="170" t="s">
        <v>40</v>
      </c>
      <c r="I11" s="169">
        <f>РГК!F22+РГК!F23+РГК!F24</f>
        <v>1168</v>
      </c>
      <c r="J11" s="171">
        <f t="shared" si="0"/>
        <v>4.58</v>
      </c>
      <c r="K11" s="169">
        <f t="shared" si="1"/>
        <v>5349.44</v>
      </c>
      <c r="M11" s="173">
        <f>N11/I11</f>
        <v>4.58</v>
      </c>
      <c r="N11" s="173">
        <f>(РГК!O22+РГК!O23+РГК!O24)*1.215</f>
        <v>5353.2</v>
      </c>
    </row>
    <row r="12" spans="1:30" ht="30" customHeight="1" x14ac:dyDescent="0.3">
      <c r="A12" s="170" t="s">
        <v>138</v>
      </c>
      <c r="B12" s="170"/>
      <c r="C12" s="296" t="s">
        <v>139</v>
      </c>
      <c r="D12" s="296"/>
      <c r="E12" s="296"/>
      <c r="F12" s="296"/>
      <c r="G12" s="296"/>
      <c r="H12" s="170" t="s">
        <v>40</v>
      </c>
      <c r="I12" s="169">
        <f>РГК!F26+РГК!F27+РГК!F28</f>
        <v>1168</v>
      </c>
      <c r="J12" s="171">
        <f t="shared" si="0"/>
        <v>10.38</v>
      </c>
      <c r="K12" s="169">
        <f t="shared" si="1"/>
        <v>12123.84</v>
      </c>
      <c r="M12" s="173">
        <f t="shared" ref="M12:M16" si="3">N12/I12</f>
        <v>10.38</v>
      </c>
      <c r="N12" s="173">
        <f>(РГК!O26+РГК!O27+РГК!O28)*1.215</f>
        <v>12121.25</v>
      </c>
    </row>
    <row r="13" spans="1:30" ht="31.8" customHeight="1" x14ac:dyDescent="0.3">
      <c r="A13" s="170" t="s">
        <v>140</v>
      </c>
      <c r="B13" s="170"/>
      <c r="C13" s="296" t="s">
        <v>141</v>
      </c>
      <c r="D13" s="296"/>
      <c r="E13" s="296"/>
      <c r="F13" s="296"/>
      <c r="G13" s="296"/>
      <c r="H13" s="170" t="s">
        <v>40</v>
      </c>
      <c r="I13" s="169">
        <f>РГК!F30+РГК!F31+РГК!F32</f>
        <v>1168</v>
      </c>
      <c r="J13" s="171">
        <f t="shared" si="0"/>
        <v>5.12</v>
      </c>
      <c r="K13" s="169">
        <f t="shared" si="1"/>
        <v>5980.16</v>
      </c>
      <c r="M13" s="173">
        <f t="shared" si="3"/>
        <v>5.12</v>
      </c>
      <c r="N13" s="173">
        <f>(РГК!O30+РГК!O31+РГК!O32)*1.215</f>
        <v>5974.93</v>
      </c>
    </row>
    <row r="14" spans="1:30" ht="28.2" customHeight="1" x14ac:dyDescent="0.3">
      <c r="A14" s="170" t="s">
        <v>142</v>
      </c>
      <c r="B14" s="170"/>
      <c r="C14" s="296" t="s">
        <v>143</v>
      </c>
      <c r="D14" s="296"/>
      <c r="E14" s="296"/>
      <c r="F14" s="296"/>
      <c r="G14" s="296"/>
      <c r="H14" s="170" t="s">
        <v>40</v>
      </c>
      <c r="I14" s="169">
        <f>РГК!F34+РГК!F35+РГК!F36+РГК!F37+РГК!F38+РГК!F39+РГК!F40+РГК!F41+РГК!F42+РГК!F43+РГК!F44+РГК!F45</f>
        <v>1168</v>
      </c>
      <c r="J14" s="171">
        <f t="shared" si="0"/>
        <v>7.95</v>
      </c>
      <c r="K14" s="169">
        <f t="shared" si="1"/>
        <v>9285.6</v>
      </c>
      <c r="M14" s="173">
        <f t="shared" si="3"/>
        <v>7.95</v>
      </c>
      <c r="N14" s="173">
        <f>(РГК!O34+РГК!O35+РГК!O36+РГК!O37+РГК!O38+РГК!O39+РГК!O40+РГК!O41+РГК!O42+РГК!O43+РГК!O44+РГК!O45)*1.215</f>
        <v>9287.65</v>
      </c>
    </row>
    <row r="15" spans="1:30" ht="22.2" customHeight="1" x14ac:dyDescent="0.3">
      <c r="A15" s="170" t="s">
        <v>144</v>
      </c>
      <c r="B15" s="170"/>
      <c r="C15" s="296" t="s">
        <v>145</v>
      </c>
      <c r="D15" s="296"/>
      <c r="E15" s="296"/>
      <c r="F15" s="296"/>
      <c r="G15" s="296"/>
      <c r="H15" s="170" t="s">
        <v>40</v>
      </c>
      <c r="I15" s="169">
        <f>РГК!F47+РГК!F48+РГК!F49</f>
        <v>1168</v>
      </c>
      <c r="J15" s="171">
        <f t="shared" si="0"/>
        <v>3.42</v>
      </c>
      <c r="K15" s="169">
        <f t="shared" si="1"/>
        <v>3994.56</v>
      </c>
      <c r="M15" s="173">
        <f t="shared" si="3"/>
        <v>3.42</v>
      </c>
      <c r="N15" s="173">
        <f>(РГК!O47+РГК!O48+РГК!O49)*1.215</f>
        <v>3998.61</v>
      </c>
    </row>
    <row r="16" spans="1:30" ht="19.2" customHeight="1" x14ac:dyDescent="0.3">
      <c r="A16" s="170" t="s">
        <v>146</v>
      </c>
      <c r="B16" s="170"/>
      <c r="C16" s="296" t="s">
        <v>147</v>
      </c>
      <c r="D16" s="296"/>
      <c r="E16" s="296"/>
      <c r="F16" s="296"/>
      <c r="G16" s="296"/>
      <c r="H16" s="170" t="s">
        <v>40</v>
      </c>
      <c r="I16" s="169">
        <f>РГК!F51+РГК!F52+РГК!F53</f>
        <v>317</v>
      </c>
      <c r="J16" s="171">
        <f t="shared" si="0"/>
        <v>48.23</v>
      </c>
      <c r="K16" s="169">
        <f t="shared" si="1"/>
        <v>15288.91</v>
      </c>
      <c r="M16" s="173">
        <f t="shared" si="3"/>
        <v>48.23</v>
      </c>
      <c r="N16" s="173">
        <f>(РГК!O51+РГК!O52+РГК!O53)*1.215</f>
        <v>15287.45</v>
      </c>
    </row>
    <row r="17" spans="1:14" x14ac:dyDescent="0.3">
      <c r="A17" s="297" t="s">
        <v>148</v>
      </c>
      <c r="B17" s="297"/>
      <c r="C17" s="298"/>
      <c r="D17" s="298"/>
      <c r="E17" s="298"/>
      <c r="F17" s="298"/>
      <c r="G17" s="298"/>
      <c r="H17" s="298"/>
      <c r="I17" s="298"/>
      <c r="J17" s="172">
        <f>K17/I11</f>
        <v>62.24</v>
      </c>
      <c r="K17" s="172">
        <f>K10+K5</f>
        <v>72697.259999999995</v>
      </c>
      <c r="N17">
        <f>N6+N7+N8+N9+N11+N12+N13+N14+N15+N16</f>
        <v>72702.22</v>
      </c>
    </row>
    <row r="18" spans="1:14" x14ac:dyDescent="0.3">
      <c r="A18" s="297" t="s">
        <v>149</v>
      </c>
      <c r="B18" s="297"/>
      <c r="C18" s="298"/>
      <c r="D18" s="298"/>
      <c r="E18" s="298"/>
      <c r="F18" s="298"/>
      <c r="G18" s="298"/>
      <c r="H18" s="298"/>
      <c r="I18" s="298"/>
      <c r="J18" s="172"/>
      <c r="K18" s="172">
        <v>0</v>
      </c>
      <c r="N18">
        <f>РГК!O61*1.215</f>
        <v>72702.234450000004</v>
      </c>
    </row>
    <row r="19" spans="1:14" x14ac:dyDescent="0.3">
      <c r="A19" s="297" t="s">
        <v>150</v>
      </c>
      <c r="B19" s="297"/>
      <c r="C19" s="298"/>
      <c r="D19" s="298"/>
      <c r="E19" s="298"/>
      <c r="F19" s="298"/>
      <c r="G19" s="298"/>
      <c r="H19" s="298"/>
      <c r="I19" s="298"/>
      <c r="J19" s="172"/>
      <c r="K19" s="172">
        <f>K17+K18</f>
        <v>72697.259999999995</v>
      </c>
    </row>
    <row r="20" spans="1:14" ht="25.8" customHeight="1" x14ac:dyDescent="0.3">
      <c r="A20" s="164" t="s">
        <v>151</v>
      </c>
      <c r="B20" s="164"/>
      <c r="C20" s="301" t="s">
        <v>174</v>
      </c>
      <c r="D20" s="301"/>
      <c r="E20" s="301"/>
      <c r="F20" s="301"/>
      <c r="G20" s="301"/>
      <c r="H20" s="163"/>
      <c r="I20" s="164"/>
      <c r="J20" s="165"/>
      <c r="K20" s="162" t="s">
        <v>159</v>
      </c>
    </row>
    <row r="21" spans="1:14" x14ac:dyDescent="0.3">
      <c r="A21" s="299" t="s">
        <v>153</v>
      </c>
      <c r="B21" s="299"/>
      <c r="C21" s="300"/>
      <c r="D21" s="300"/>
      <c r="E21" s="300"/>
      <c r="F21" s="300"/>
      <c r="G21" s="300"/>
      <c r="H21" s="300"/>
      <c r="I21" s="300"/>
      <c r="J21" s="167"/>
      <c r="K21" s="167" t="s">
        <v>159</v>
      </c>
    </row>
    <row r="22" spans="1:14" x14ac:dyDescent="0.3">
      <c r="A22" s="299" t="s">
        <v>149</v>
      </c>
      <c r="B22" s="299"/>
      <c r="C22" s="300"/>
      <c r="D22" s="300"/>
      <c r="E22" s="300"/>
      <c r="F22" s="300"/>
      <c r="G22" s="300"/>
      <c r="H22" s="300"/>
      <c r="I22" s="300"/>
      <c r="J22" s="167"/>
      <c r="K22" s="167" t="s">
        <v>159</v>
      </c>
    </row>
    <row r="23" spans="1:14" x14ac:dyDescent="0.3">
      <c r="A23" s="299" t="s">
        <v>154</v>
      </c>
      <c r="B23" s="299"/>
      <c r="C23" s="300"/>
      <c r="D23" s="300"/>
      <c r="E23" s="300"/>
      <c r="F23" s="300"/>
      <c r="G23" s="300"/>
      <c r="H23" s="300"/>
      <c r="I23" s="300"/>
      <c r="J23" s="167"/>
      <c r="K23" s="167" t="s">
        <v>159</v>
      </c>
    </row>
    <row r="26" spans="1:14" ht="15.6" x14ac:dyDescent="0.3">
      <c r="A26" s="273" t="s">
        <v>160</v>
      </c>
      <c r="B26" s="273"/>
      <c r="C26" s="273"/>
      <c r="D26" s="273"/>
      <c r="E26" s="273"/>
      <c r="F26" s="273"/>
      <c r="G26" s="273"/>
      <c r="H26" s="273"/>
      <c r="I26" s="273"/>
    </row>
    <row r="27" spans="1:14" x14ac:dyDescent="0.3">
      <c r="A27" s="274" t="s">
        <v>161</v>
      </c>
      <c r="B27" s="274"/>
      <c r="C27" s="274"/>
      <c r="D27" s="274"/>
      <c r="E27" s="274"/>
      <c r="F27" s="274"/>
      <c r="G27" s="274"/>
      <c r="H27" s="274"/>
      <c r="I27" s="274"/>
    </row>
    <row r="28" spans="1:14" x14ac:dyDescent="0.3">
      <c r="A28" s="277"/>
      <c r="B28" s="277"/>
      <c r="C28" s="277"/>
      <c r="D28" s="277"/>
      <c r="E28" s="277"/>
      <c r="F28" s="277"/>
      <c r="G28" s="277"/>
      <c r="H28" s="277"/>
      <c r="I28" s="277"/>
    </row>
    <row r="29" spans="1:14" x14ac:dyDescent="0.3">
      <c r="A29" s="277" t="s">
        <v>54</v>
      </c>
      <c r="B29" s="276"/>
      <c r="C29" s="276"/>
      <c r="D29" s="276"/>
      <c r="E29" s="276"/>
      <c r="F29" s="278"/>
      <c r="G29" s="278"/>
      <c r="H29" s="278"/>
      <c r="I29" s="278"/>
    </row>
    <row r="30" spans="1:14" x14ac:dyDescent="0.3">
      <c r="A30" s="277" t="s">
        <v>162</v>
      </c>
      <c r="B30" s="277"/>
      <c r="C30" s="277"/>
      <c r="D30" s="278">
        <f>+[5]кошторис!D26</f>
        <v>0</v>
      </c>
      <c r="E30" s="278"/>
      <c r="F30" s="279"/>
      <c r="G30" s="279"/>
      <c r="H30" s="176"/>
      <c r="I30" s="175"/>
    </row>
    <row r="31" spans="1:14" x14ac:dyDescent="0.3">
      <c r="A31" s="277" t="s">
        <v>163</v>
      </c>
      <c r="B31" s="277"/>
      <c r="C31" s="277"/>
      <c r="D31" s="277"/>
      <c r="E31" s="277"/>
      <c r="F31" s="176"/>
      <c r="G31" s="175"/>
      <c r="H31" s="175"/>
      <c r="I31" s="174"/>
    </row>
    <row r="32" spans="1:14" x14ac:dyDescent="0.3">
      <c r="A32" s="277"/>
      <c r="B32" s="277"/>
      <c r="C32" s="277"/>
      <c r="D32" s="277"/>
      <c r="E32" s="277"/>
      <c r="F32" s="277"/>
      <c r="G32" s="277"/>
      <c r="H32" s="277"/>
      <c r="I32" s="277"/>
    </row>
    <row r="33" spans="1:9" ht="39.6" x14ac:dyDescent="0.3">
      <c r="A33" s="280" t="s">
        <v>118</v>
      </c>
      <c r="B33" s="280"/>
      <c r="C33" s="280" t="s">
        <v>164</v>
      </c>
      <c r="D33" s="280"/>
      <c r="E33" s="280"/>
      <c r="F33" s="177" t="s">
        <v>120</v>
      </c>
      <c r="G33" s="177" t="s">
        <v>121</v>
      </c>
      <c r="H33" s="177" t="s">
        <v>122</v>
      </c>
      <c r="I33" s="177" t="s">
        <v>123</v>
      </c>
    </row>
    <row r="34" spans="1:9" ht="32.4" customHeight="1" x14ac:dyDescent="0.3">
      <c r="A34" s="292" t="s">
        <v>124</v>
      </c>
      <c r="B34" s="293"/>
      <c r="C34" s="281" t="s">
        <v>125</v>
      </c>
      <c r="D34" s="281"/>
      <c r="E34" s="281"/>
      <c r="F34" s="287" t="s">
        <v>40</v>
      </c>
      <c r="G34" s="289">
        <f>I11</f>
        <v>1168</v>
      </c>
      <c r="H34" s="290">
        <f>+(I34+I35)/G34</f>
        <v>62.24</v>
      </c>
      <c r="I34" s="178">
        <f>K5</f>
        <v>20674.75</v>
      </c>
    </row>
    <row r="35" spans="1:9" x14ac:dyDescent="0.3">
      <c r="A35" s="284" t="s">
        <v>134</v>
      </c>
      <c r="B35" s="285"/>
      <c r="C35" s="286" t="s">
        <v>135</v>
      </c>
      <c r="D35" s="286"/>
      <c r="E35" s="286"/>
      <c r="F35" s="288"/>
      <c r="G35" s="288"/>
      <c r="H35" s="291"/>
      <c r="I35" s="178">
        <f>K10</f>
        <v>52022.51</v>
      </c>
    </row>
    <row r="36" spans="1:9" x14ac:dyDescent="0.3">
      <c r="A36" s="282" t="s">
        <v>148</v>
      </c>
      <c r="B36" s="283"/>
      <c r="C36" s="283"/>
      <c r="D36" s="283"/>
      <c r="E36" s="283"/>
      <c r="F36" s="283"/>
      <c r="G36" s="283"/>
      <c r="H36" s="179">
        <f>+I36/G34</f>
        <v>62.24</v>
      </c>
      <c r="I36" s="179">
        <f>+I34+I35</f>
        <v>72697.259999999995</v>
      </c>
    </row>
    <row r="37" spans="1:9" x14ac:dyDescent="0.3">
      <c r="A37" s="282" t="s">
        <v>149</v>
      </c>
      <c r="B37" s="283"/>
      <c r="C37" s="283"/>
      <c r="D37" s="283"/>
      <c r="E37" s="283"/>
      <c r="F37" s="283"/>
      <c r="G37" s="283"/>
      <c r="H37" s="179"/>
      <c r="I37" s="179"/>
    </row>
    <row r="38" spans="1:9" x14ac:dyDescent="0.3">
      <c r="A38" s="282" t="s">
        <v>150</v>
      </c>
      <c r="B38" s="283"/>
      <c r="C38" s="283"/>
      <c r="D38" s="283"/>
      <c r="E38" s="283"/>
      <c r="F38" s="283"/>
      <c r="G38" s="283"/>
      <c r="H38" s="179">
        <f>+H37+H36</f>
        <v>62.24</v>
      </c>
      <c r="I38" s="179">
        <f>+I37+I36</f>
        <v>72697.259999999995</v>
      </c>
    </row>
    <row r="39" spans="1:9" ht="31.2" customHeight="1" x14ac:dyDescent="0.3">
      <c r="A39" s="284" t="s">
        <v>151</v>
      </c>
      <c r="B39" s="285"/>
      <c r="C39" s="286" t="s">
        <v>176</v>
      </c>
      <c r="D39" s="286"/>
      <c r="E39" s="286"/>
      <c r="F39" s="180" t="s">
        <v>40</v>
      </c>
      <c r="G39" s="180"/>
      <c r="H39" s="178">
        <f>+[5]кошторис!V46</f>
        <v>0</v>
      </c>
      <c r="I39" s="178">
        <f>+[5]кошторис!Z46</f>
        <v>0</v>
      </c>
    </row>
    <row r="40" spans="1:9" x14ac:dyDescent="0.3">
      <c r="A40" s="282" t="s">
        <v>153</v>
      </c>
      <c r="B40" s="283"/>
      <c r="C40" s="283"/>
      <c r="D40" s="283"/>
      <c r="E40" s="283"/>
      <c r="F40" s="283"/>
      <c r="G40" s="283"/>
      <c r="H40" s="179"/>
      <c r="I40" s="179">
        <f>+I39</f>
        <v>0</v>
      </c>
    </row>
    <row r="41" spans="1:9" x14ac:dyDescent="0.3">
      <c r="A41" s="282" t="s">
        <v>149</v>
      </c>
      <c r="B41" s="283"/>
      <c r="C41" s="283"/>
      <c r="D41" s="283"/>
      <c r="E41" s="283"/>
      <c r="F41" s="283"/>
      <c r="G41" s="283"/>
      <c r="H41" s="179"/>
      <c r="I41" s="179"/>
    </row>
    <row r="42" spans="1:9" x14ac:dyDescent="0.3">
      <c r="A42" s="282" t="s">
        <v>154</v>
      </c>
      <c r="B42" s="283"/>
      <c r="C42" s="283"/>
      <c r="D42" s="283"/>
      <c r="E42" s="283"/>
      <c r="F42" s="283"/>
      <c r="G42" s="283"/>
      <c r="H42" s="179">
        <f>+H41+H40</f>
        <v>0</v>
      </c>
      <c r="I42" s="179">
        <f>+I41+I40</f>
        <v>0</v>
      </c>
    </row>
    <row r="45" spans="1:9" ht="15.6" x14ac:dyDescent="0.3">
      <c r="A45" s="273" t="s">
        <v>165</v>
      </c>
      <c r="B45" s="273"/>
      <c r="C45" s="273"/>
      <c r="D45" s="273"/>
      <c r="E45" s="273"/>
      <c r="F45" s="273"/>
      <c r="G45" s="273"/>
      <c r="H45" s="273"/>
      <c r="I45" s="273"/>
    </row>
    <row r="46" spans="1:9" x14ac:dyDescent="0.3">
      <c r="A46" s="274"/>
      <c r="B46" s="274"/>
      <c r="C46" s="274"/>
      <c r="D46" s="274"/>
      <c r="E46" s="274"/>
      <c r="F46" s="274"/>
      <c r="G46" s="274"/>
      <c r="H46" s="274"/>
      <c r="I46" s="274"/>
    </row>
    <row r="47" spans="1:9" x14ac:dyDescent="0.3">
      <c r="A47" s="275" t="s">
        <v>166</v>
      </c>
      <c r="B47" s="276"/>
      <c r="C47" s="276"/>
      <c r="D47" s="276"/>
      <c r="E47" s="276"/>
      <c r="F47" s="276"/>
      <c r="G47" s="276"/>
      <c r="H47" s="276"/>
      <c r="I47" s="276"/>
    </row>
    <row r="48" spans="1:9" x14ac:dyDescent="0.3">
      <c r="A48" s="269" t="s">
        <v>124</v>
      </c>
      <c r="B48" s="270"/>
      <c r="C48" s="271" t="s">
        <v>125</v>
      </c>
      <c r="D48" s="271"/>
      <c r="E48" s="271"/>
      <c r="F48" s="271"/>
      <c r="G48" s="271"/>
      <c r="H48" s="272"/>
      <c r="I48" s="272"/>
    </row>
    <row r="49" spans="1:9" x14ac:dyDescent="0.3">
      <c r="A49" s="266" t="s">
        <v>126</v>
      </c>
      <c r="B49" s="267"/>
      <c r="C49" s="268" t="s">
        <v>117</v>
      </c>
      <c r="D49" s="268"/>
      <c r="E49" s="268"/>
      <c r="F49" s="268"/>
      <c r="G49" s="268"/>
      <c r="H49" s="181" t="s">
        <v>38</v>
      </c>
      <c r="I49" s="182">
        <f>I6</f>
        <v>1.2</v>
      </c>
    </row>
    <row r="50" spans="1:9" x14ac:dyDescent="0.3">
      <c r="A50" s="266" t="s">
        <v>127</v>
      </c>
      <c r="B50" s="267"/>
      <c r="C50" s="268" t="s">
        <v>128</v>
      </c>
      <c r="D50" s="268"/>
      <c r="E50" s="268"/>
      <c r="F50" s="268"/>
      <c r="G50" s="268"/>
      <c r="H50" s="181" t="s">
        <v>38</v>
      </c>
      <c r="I50" s="182">
        <f>I7</f>
        <v>2.5</v>
      </c>
    </row>
    <row r="51" spans="1:9" x14ac:dyDescent="0.3">
      <c r="A51" s="266" t="s">
        <v>129</v>
      </c>
      <c r="B51" s="267"/>
      <c r="C51" s="268" t="s">
        <v>130</v>
      </c>
      <c r="D51" s="268"/>
      <c r="E51" s="268"/>
      <c r="F51" s="268"/>
      <c r="G51" s="268"/>
      <c r="H51" s="181" t="s">
        <v>131</v>
      </c>
      <c r="I51" s="184">
        <f>I8</f>
        <v>1158</v>
      </c>
    </row>
    <row r="52" spans="1:9" x14ac:dyDescent="0.3">
      <c r="A52" s="266" t="s">
        <v>132</v>
      </c>
      <c r="B52" s="267"/>
      <c r="C52" s="268" t="s">
        <v>167</v>
      </c>
      <c r="D52" s="268"/>
      <c r="E52" s="268"/>
      <c r="F52" s="268"/>
      <c r="G52" s="268"/>
      <c r="H52" s="181" t="s">
        <v>40</v>
      </c>
      <c r="I52" s="184">
        <f>I9</f>
        <v>84</v>
      </c>
    </row>
    <row r="53" spans="1:9" x14ac:dyDescent="0.3">
      <c r="A53" s="269" t="s">
        <v>134</v>
      </c>
      <c r="B53" s="270"/>
      <c r="C53" s="271" t="s">
        <v>135</v>
      </c>
      <c r="D53" s="271"/>
      <c r="E53" s="271"/>
      <c r="F53" s="271"/>
      <c r="G53" s="271"/>
      <c r="H53" s="272"/>
      <c r="I53" s="272"/>
    </row>
    <row r="54" spans="1:9" x14ac:dyDescent="0.3">
      <c r="A54" s="266" t="s">
        <v>136</v>
      </c>
      <c r="B54" s="267"/>
      <c r="C54" s="268" t="s">
        <v>137</v>
      </c>
      <c r="D54" s="268"/>
      <c r="E54" s="268"/>
      <c r="F54" s="268"/>
      <c r="G54" s="268"/>
      <c r="H54" s="181" t="s">
        <v>40</v>
      </c>
      <c r="I54" s="183">
        <f t="shared" ref="I54:I59" si="4">I11</f>
        <v>1168</v>
      </c>
    </row>
    <row r="55" spans="1:9" x14ac:dyDescent="0.3">
      <c r="A55" s="266" t="s">
        <v>138</v>
      </c>
      <c r="B55" s="267"/>
      <c r="C55" s="268" t="s">
        <v>139</v>
      </c>
      <c r="D55" s="268"/>
      <c r="E55" s="268"/>
      <c r="F55" s="268"/>
      <c r="G55" s="268"/>
      <c r="H55" s="181" t="s">
        <v>40</v>
      </c>
      <c r="I55" s="183">
        <f t="shared" si="4"/>
        <v>1168</v>
      </c>
    </row>
    <row r="56" spans="1:9" x14ac:dyDescent="0.3">
      <c r="A56" s="266" t="s">
        <v>140</v>
      </c>
      <c r="B56" s="267"/>
      <c r="C56" s="268" t="s">
        <v>141</v>
      </c>
      <c r="D56" s="268"/>
      <c r="E56" s="268"/>
      <c r="F56" s="268"/>
      <c r="G56" s="268"/>
      <c r="H56" s="181" t="s">
        <v>40</v>
      </c>
      <c r="I56" s="183">
        <f t="shared" si="4"/>
        <v>1168</v>
      </c>
    </row>
    <row r="57" spans="1:9" x14ac:dyDescent="0.3">
      <c r="A57" s="266" t="s">
        <v>142</v>
      </c>
      <c r="B57" s="267"/>
      <c r="C57" s="268" t="s">
        <v>143</v>
      </c>
      <c r="D57" s="268"/>
      <c r="E57" s="268"/>
      <c r="F57" s="268"/>
      <c r="G57" s="268"/>
      <c r="H57" s="181" t="s">
        <v>40</v>
      </c>
      <c r="I57" s="183">
        <f t="shared" si="4"/>
        <v>1168</v>
      </c>
    </row>
    <row r="58" spans="1:9" x14ac:dyDescent="0.3">
      <c r="A58" s="266" t="s">
        <v>144</v>
      </c>
      <c r="B58" s="267"/>
      <c r="C58" s="268" t="s">
        <v>145</v>
      </c>
      <c r="D58" s="268"/>
      <c r="E58" s="268"/>
      <c r="F58" s="268"/>
      <c r="G58" s="268"/>
      <c r="H58" s="181" t="s">
        <v>40</v>
      </c>
      <c r="I58" s="183">
        <f t="shared" si="4"/>
        <v>1168</v>
      </c>
    </row>
    <row r="59" spans="1:9" x14ac:dyDescent="0.3">
      <c r="A59" s="266" t="s">
        <v>146</v>
      </c>
      <c r="B59" s="267"/>
      <c r="C59" s="268" t="s">
        <v>147</v>
      </c>
      <c r="D59" s="268"/>
      <c r="E59" s="268"/>
      <c r="F59" s="268"/>
      <c r="G59" s="268"/>
      <c r="H59" s="181" t="s">
        <v>40</v>
      </c>
      <c r="I59" s="183">
        <f t="shared" si="4"/>
        <v>317</v>
      </c>
    </row>
    <row r="60" spans="1:9" x14ac:dyDescent="0.3">
      <c r="A60" s="269" t="s">
        <v>151</v>
      </c>
      <c r="B60" s="270"/>
      <c r="C60" s="271" t="s">
        <v>152</v>
      </c>
      <c r="D60" s="271"/>
      <c r="E60" s="271"/>
      <c r="F60" s="271"/>
      <c r="G60" s="271"/>
      <c r="H60" s="181" t="s">
        <v>40</v>
      </c>
      <c r="I60" s="185"/>
    </row>
  </sheetData>
  <mergeCells count="76">
    <mergeCell ref="A21:I21"/>
    <mergeCell ref="A22:I22"/>
    <mergeCell ref="A23:I23"/>
    <mergeCell ref="C15:G15"/>
    <mergeCell ref="C16:G16"/>
    <mergeCell ref="C20:G20"/>
    <mergeCell ref="A18:I18"/>
    <mergeCell ref="A19:I19"/>
    <mergeCell ref="C12:G12"/>
    <mergeCell ref="C13:G13"/>
    <mergeCell ref="C14:G14"/>
    <mergeCell ref="A17:I17"/>
    <mergeCell ref="C6:G6"/>
    <mergeCell ref="C7:G7"/>
    <mergeCell ref="C4:G4"/>
    <mergeCell ref="C5:J5"/>
    <mergeCell ref="C9:G9"/>
    <mergeCell ref="C11:G11"/>
    <mergeCell ref="C8:G8"/>
    <mergeCell ref="C10:J10"/>
    <mergeCell ref="H34:H35"/>
    <mergeCell ref="C35:E35"/>
    <mergeCell ref="A36:G36"/>
    <mergeCell ref="A37:G37"/>
    <mergeCell ref="A35:B35"/>
    <mergeCell ref="A34:B34"/>
    <mergeCell ref="A42:G42"/>
    <mergeCell ref="A38:G38"/>
    <mergeCell ref="A39:B39"/>
    <mergeCell ref="C39:E39"/>
    <mergeCell ref="F34:F35"/>
    <mergeCell ref="G34:G35"/>
    <mergeCell ref="A33:B33"/>
    <mergeCell ref="C33:E33"/>
    <mergeCell ref="C34:E34"/>
    <mergeCell ref="A40:G40"/>
    <mergeCell ref="A41:G41"/>
    <mergeCell ref="A30:C30"/>
    <mergeCell ref="D30:E30"/>
    <mergeCell ref="F30:G30"/>
    <mergeCell ref="A31:E31"/>
    <mergeCell ref="A32:I32"/>
    <mergeCell ref="A26:I26"/>
    <mergeCell ref="A27:I27"/>
    <mergeCell ref="A28:I28"/>
    <mergeCell ref="A29:E29"/>
    <mergeCell ref="F29:I29"/>
    <mergeCell ref="A45:I45"/>
    <mergeCell ref="A46:I46"/>
    <mergeCell ref="A47:I47"/>
    <mergeCell ref="A48:B48"/>
    <mergeCell ref="C48:I48"/>
    <mergeCell ref="A49:B49"/>
    <mergeCell ref="C49:G49"/>
    <mergeCell ref="A50:B50"/>
    <mergeCell ref="C50:G50"/>
    <mergeCell ref="A51:B51"/>
    <mergeCell ref="C51:G51"/>
    <mergeCell ref="A52:B52"/>
    <mergeCell ref="C52:G52"/>
    <mergeCell ref="A53:B53"/>
    <mergeCell ref="C53:I53"/>
    <mergeCell ref="A54:B54"/>
    <mergeCell ref="C54:G54"/>
    <mergeCell ref="A55:B55"/>
    <mergeCell ref="C55:G55"/>
    <mergeCell ref="A56:B56"/>
    <mergeCell ref="C56:G56"/>
    <mergeCell ref="A57:B57"/>
    <mergeCell ref="C57:G57"/>
    <mergeCell ref="A58:B58"/>
    <mergeCell ref="C58:G58"/>
    <mergeCell ref="A59:B59"/>
    <mergeCell ref="C59:G59"/>
    <mergeCell ref="A60:B60"/>
    <mergeCell ref="C60:G60"/>
  </mergeCells>
  <conditionalFormatting sqref="A26:I42">
    <cfRule type="cellIs" dxfId="15" priority="6" operator="equal">
      <formula>0</formula>
    </cfRule>
  </conditionalFormatting>
  <conditionalFormatting sqref="H37:I37 H41:I41">
    <cfRule type="cellIs" dxfId="14" priority="4" operator="equal">
      <formula>#DIV/0!</formula>
    </cfRule>
    <cfRule type="cellIs" dxfId="13" priority="5" operator="equal">
      <formula>0</formula>
    </cfRule>
  </conditionalFormatting>
  <conditionalFormatting sqref="A45:I60">
    <cfRule type="cellIs" dxfId="12" priority="3" operator="equal">
      <formula>0</formula>
    </cfRule>
  </conditionalFormatting>
  <conditionalFormatting sqref="A1:AD2">
    <cfRule type="cellIs" dxfId="11" priority="1" operator="equal">
      <formula>#DIV/0!</formula>
    </cfRule>
    <cfRule type="cellIs" dxfId="10" priority="2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O65"/>
  <sheetViews>
    <sheetView topLeftCell="H17" zoomScaleNormal="100" workbookViewId="0">
      <selection activeCell="L20" sqref="L20:N20"/>
    </sheetView>
  </sheetViews>
  <sheetFormatPr defaultColWidth="9.109375" defaultRowHeight="13.2" x14ac:dyDescent="0.25"/>
  <cols>
    <col min="1" max="1" width="71.88671875" style="3" customWidth="1"/>
    <col min="2" max="4" width="11.109375" style="3" customWidth="1"/>
    <col min="5" max="5" width="9.109375" style="3"/>
    <col min="6" max="6" width="13.109375" style="3" customWidth="1"/>
    <col min="7" max="7" width="13" style="3" customWidth="1"/>
    <col min="8" max="8" width="13.33203125" style="3" customWidth="1"/>
    <col min="9" max="9" width="10.5546875" style="3" customWidth="1"/>
    <col min="10" max="10" width="9.109375" style="3"/>
    <col min="11" max="12" width="9.88671875" style="3" customWidth="1"/>
    <col min="13" max="13" width="10.5546875" style="3" customWidth="1"/>
    <col min="14" max="14" width="11.77734375" style="3" customWidth="1"/>
    <col min="15" max="15" width="11.33203125" style="3" customWidth="1"/>
    <col min="16" max="16" width="15.5546875" style="3" customWidth="1"/>
    <col min="17" max="17" width="14.88671875" style="3" customWidth="1"/>
    <col min="18" max="18" width="23.33203125" style="3" customWidth="1"/>
    <col min="19" max="16384" width="9.109375" style="3"/>
  </cols>
  <sheetData>
    <row r="1" spans="1:18" ht="18" customHeight="1" thickBot="1" x14ac:dyDescent="0.4">
      <c r="A1" s="247" t="s">
        <v>59</v>
      </c>
      <c r="B1" s="247"/>
      <c r="C1" s="247"/>
      <c r="D1" s="247"/>
      <c r="E1" s="247"/>
      <c r="F1" s="247"/>
      <c r="G1" s="244"/>
      <c r="H1" s="245"/>
      <c r="I1" s="245"/>
      <c r="J1" s="245"/>
      <c r="K1" s="245"/>
      <c r="L1" s="245"/>
      <c r="M1" s="245"/>
      <c r="N1" s="245"/>
      <c r="O1" s="246"/>
      <c r="P1" s="122"/>
      <c r="Q1" s="124" t="s">
        <v>1</v>
      </c>
      <c r="R1" s="122"/>
    </row>
    <row r="2" spans="1:18" ht="21" customHeight="1" thickBot="1" x14ac:dyDescent="0.35">
      <c r="A2" s="4" t="s">
        <v>54</v>
      </c>
      <c r="B2" s="232" t="s">
        <v>78</v>
      </c>
      <c r="C2" s="233"/>
      <c r="D2" s="233"/>
      <c r="E2" s="233"/>
      <c r="F2" s="234"/>
      <c r="G2" s="251" t="s">
        <v>60</v>
      </c>
      <c r="H2" s="252"/>
      <c r="I2" s="253">
        <v>533</v>
      </c>
      <c r="J2" s="254"/>
      <c r="K2" s="191"/>
      <c r="L2" s="191"/>
      <c r="M2" s="191"/>
      <c r="N2" s="191"/>
      <c r="O2" s="4"/>
      <c r="P2" s="221" t="s">
        <v>2</v>
      </c>
      <c r="Q2" s="221"/>
      <c r="R2" s="221"/>
    </row>
    <row r="3" spans="1:18" ht="21" customHeight="1" thickBot="1" x14ac:dyDescent="0.4">
      <c r="A3" s="96" t="s">
        <v>55</v>
      </c>
      <c r="B3" s="232">
        <v>38</v>
      </c>
      <c r="C3" s="233"/>
      <c r="D3" s="233"/>
      <c r="E3" s="233"/>
      <c r="F3" s="234"/>
      <c r="G3" s="230" t="s">
        <v>62</v>
      </c>
      <c r="H3" s="231"/>
      <c r="I3" s="253">
        <v>413</v>
      </c>
      <c r="J3" s="254"/>
      <c r="K3" s="191"/>
      <c r="L3" s="191"/>
      <c r="M3" s="191"/>
      <c r="N3" s="191"/>
      <c r="P3" s="222" t="s">
        <v>3</v>
      </c>
      <c r="Q3" s="222"/>
      <c r="R3" s="222"/>
    </row>
    <row r="4" spans="1:18" ht="19.95" customHeight="1" thickBot="1" x14ac:dyDescent="0.35">
      <c r="A4" s="96" t="s">
        <v>56</v>
      </c>
      <c r="B4" s="232">
        <v>4.0999999999999996</v>
      </c>
      <c r="C4" s="233"/>
      <c r="D4" s="233"/>
      <c r="E4" s="233"/>
      <c r="F4" s="234"/>
      <c r="G4" s="230" t="s">
        <v>63</v>
      </c>
      <c r="H4" s="231"/>
      <c r="I4" s="253">
        <v>25</v>
      </c>
      <c r="J4" s="254"/>
      <c r="K4" s="191"/>
      <c r="L4" s="191"/>
      <c r="M4" s="191"/>
      <c r="N4" s="191"/>
      <c r="P4" s="5"/>
      <c r="Q4" s="6"/>
      <c r="R4" s="7"/>
    </row>
    <row r="5" spans="1:18" ht="17.399999999999999" customHeight="1" thickBot="1" x14ac:dyDescent="0.35">
      <c r="A5" s="96" t="s">
        <v>57</v>
      </c>
      <c r="B5" s="232">
        <v>1.2</v>
      </c>
      <c r="C5" s="233"/>
      <c r="D5" s="233"/>
      <c r="E5" s="233"/>
      <c r="F5" s="234"/>
      <c r="G5" s="230" t="s">
        <v>61</v>
      </c>
      <c r="H5" s="231"/>
      <c r="I5" s="253">
        <f>I3-I4</f>
        <v>388</v>
      </c>
      <c r="J5" s="254"/>
      <c r="K5" s="191"/>
      <c r="L5" s="191"/>
      <c r="M5" s="191"/>
      <c r="N5" s="191"/>
      <c r="P5" s="5"/>
      <c r="Q5" s="6"/>
      <c r="R5" s="7"/>
    </row>
    <row r="6" spans="1:18" ht="18" customHeight="1" thickBot="1" x14ac:dyDescent="0.4">
      <c r="A6" s="1" t="s">
        <v>58</v>
      </c>
      <c r="B6" s="248" t="s">
        <v>87</v>
      </c>
      <c r="C6" s="249"/>
      <c r="D6" s="249"/>
      <c r="E6" s="249"/>
      <c r="F6" s="250"/>
      <c r="G6" s="230" t="s">
        <v>91</v>
      </c>
      <c r="H6" s="231"/>
      <c r="I6" s="304">
        <f>I3/B5</f>
        <v>344</v>
      </c>
      <c r="J6" s="305"/>
      <c r="K6" s="207"/>
      <c r="L6" s="207"/>
      <c r="M6" s="207"/>
      <c r="N6" s="207"/>
      <c r="P6" s="223" t="s">
        <v>6</v>
      </c>
      <c r="Q6" s="223"/>
      <c r="R6" s="223"/>
    </row>
    <row r="7" spans="1:18" ht="16.95" customHeight="1" thickBot="1" x14ac:dyDescent="0.3">
      <c r="A7" s="97" t="s">
        <v>7</v>
      </c>
      <c r="B7" s="232" t="s">
        <v>79</v>
      </c>
      <c r="C7" s="233"/>
      <c r="D7" s="233"/>
      <c r="E7" s="233"/>
      <c r="F7" s="234"/>
      <c r="G7" s="230" t="s">
        <v>64</v>
      </c>
      <c r="H7" s="231"/>
      <c r="I7" s="302">
        <f>I5/I2</f>
        <v>0.73</v>
      </c>
      <c r="J7" s="303"/>
      <c r="K7" s="208"/>
      <c r="L7" s="208"/>
      <c r="M7" s="208"/>
      <c r="N7" s="208"/>
    </row>
    <row r="8" spans="1:18" ht="16.95" customHeight="1" thickBot="1" x14ac:dyDescent="0.3">
      <c r="A8" s="97" t="s">
        <v>68</v>
      </c>
      <c r="B8" s="232" t="s">
        <v>80</v>
      </c>
      <c r="C8" s="233"/>
      <c r="D8" s="233"/>
      <c r="E8" s="233"/>
      <c r="F8" s="234"/>
      <c r="G8" s="265" t="s">
        <v>5</v>
      </c>
      <c r="H8" s="264"/>
      <c r="I8" s="253"/>
      <c r="J8" s="254"/>
      <c r="K8" s="191"/>
      <c r="L8" s="191"/>
      <c r="M8" s="191"/>
      <c r="N8" s="191"/>
    </row>
    <row r="9" spans="1:18" ht="16.95" customHeight="1" thickBot="1" x14ac:dyDescent="0.3">
      <c r="A9" s="97" t="s">
        <v>69</v>
      </c>
      <c r="B9" s="232" t="s">
        <v>81</v>
      </c>
      <c r="C9" s="233"/>
      <c r="D9" s="233"/>
      <c r="E9" s="233"/>
      <c r="F9" s="234"/>
      <c r="G9" s="265" t="s">
        <v>66</v>
      </c>
      <c r="H9" s="264"/>
      <c r="I9" s="253"/>
      <c r="J9" s="254"/>
      <c r="K9" s="191"/>
      <c r="L9" s="191"/>
      <c r="M9" s="191"/>
      <c r="N9" s="191"/>
    </row>
    <row r="10" spans="1:18" ht="16.95" customHeight="1" thickBot="1" x14ac:dyDescent="0.3">
      <c r="A10" s="97" t="s">
        <v>88</v>
      </c>
      <c r="B10" s="232"/>
      <c r="C10" s="233"/>
      <c r="D10" s="233"/>
      <c r="E10" s="233"/>
      <c r="F10" s="234"/>
      <c r="G10" s="265" t="s">
        <v>4</v>
      </c>
      <c r="H10" s="264"/>
      <c r="I10" s="253">
        <v>3</v>
      </c>
      <c r="J10" s="254"/>
      <c r="K10" s="191"/>
      <c r="L10" s="191"/>
      <c r="M10" s="191"/>
      <c r="N10" s="191"/>
    </row>
    <row r="11" spans="1:18" ht="16.95" customHeight="1" thickBot="1" x14ac:dyDescent="0.3">
      <c r="A11" s="97"/>
      <c r="B11" s="232"/>
      <c r="C11" s="233"/>
      <c r="D11" s="233"/>
      <c r="E11" s="233"/>
      <c r="F11" s="234"/>
      <c r="G11" s="264" t="s">
        <v>67</v>
      </c>
      <c r="H11" s="264"/>
      <c r="I11" s="253">
        <v>1</v>
      </c>
      <c r="J11" s="254"/>
      <c r="K11" s="191"/>
      <c r="L11" s="191"/>
      <c r="M11" s="191"/>
      <c r="N11" s="191"/>
    </row>
    <row r="12" spans="1:18" ht="16.95" customHeight="1" thickBot="1" x14ac:dyDescent="0.3">
      <c r="A12" s="97"/>
      <c r="B12" s="232"/>
      <c r="C12" s="233"/>
      <c r="D12" s="233"/>
      <c r="E12" s="233"/>
      <c r="F12" s="234"/>
      <c r="G12" s="264" t="s">
        <v>85</v>
      </c>
      <c r="H12" s="264"/>
      <c r="I12" s="253"/>
      <c r="J12" s="254"/>
      <c r="K12" s="191"/>
      <c r="L12" s="191"/>
      <c r="M12" s="191"/>
      <c r="N12" s="191"/>
    </row>
    <row r="13" spans="1:18" ht="15" customHeight="1" thickBot="1" x14ac:dyDescent="0.3">
      <c r="A13" s="9"/>
      <c r="B13" s="9" t="s">
        <v>8</v>
      </c>
      <c r="C13" s="9"/>
      <c r="D13" s="9"/>
      <c r="E13" s="9"/>
      <c r="F13" s="10"/>
      <c r="G13" s="237" t="s">
        <v>9</v>
      </c>
      <c r="H13" s="237"/>
      <c r="I13" s="11"/>
      <c r="J13" s="12"/>
      <c r="K13" s="196"/>
      <c r="L13" s="196"/>
      <c r="M13" s="196"/>
      <c r="N13" s="196"/>
      <c r="O13" s="13" t="s">
        <v>10</v>
      </c>
      <c r="P13" s="13" t="s">
        <v>11</v>
      </c>
      <c r="Q13" s="13" t="s">
        <v>12</v>
      </c>
      <c r="R13" s="13" t="s">
        <v>13</v>
      </c>
    </row>
    <row r="14" spans="1:18" ht="14.4" x14ac:dyDescent="0.3">
      <c r="A14" s="14"/>
      <c r="B14" s="14"/>
      <c r="C14" s="14" t="s">
        <v>14</v>
      </c>
      <c r="D14" s="15" t="s">
        <v>15</v>
      </c>
      <c r="E14" s="14" t="s">
        <v>16</v>
      </c>
      <c r="F14" s="14" t="s">
        <v>17</v>
      </c>
      <c r="G14" s="16" t="s">
        <v>18</v>
      </c>
      <c r="H14" s="17" t="s">
        <v>19</v>
      </c>
      <c r="I14" s="18" t="s">
        <v>20</v>
      </c>
      <c r="J14" s="14" t="s">
        <v>21</v>
      </c>
      <c r="K14" s="14" t="s">
        <v>187</v>
      </c>
      <c r="L14" s="14" t="s">
        <v>190</v>
      </c>
      <c r="M14" s="14" t="s">
        <v>190</v>
      </c>
      <c r="N14" s="14" t="s">
        <v>190</v>
      </c>
      <c r="O14" s="18" t="s">
        <v>22</v>
      </c>
      <c r="P14" s="18" t="s">
        <v>23</v>
      </c>
      <c r="Q14" s="18" t="s">
        <v>24</v>
      </c>
      <c r="R14" s="18" t="s">
        <v>25</v>
      </c>
    </row>
    <row r="15" spans="1:18" x14ac:dyDescent="0.25">
      <c r="A15" s="14"/>
      <c r="B15" s="14"/>
      <c r="C15" s="14" t="s">
        <v>26</v>
      </c>
      <c r="D15" s="14" t="s">
        <v>27</v>
      </c>
      <c r="E15" s="14" t="s">
        <v>28</v>
      </c>
      <c r="F15" s="14" t="s">
        <v>29</v>
      </c>
      <c r="G15" s="16"/>
      <c r="H15" s="17"/>
      <c r="I15" s="18" t="s">
        <v>30</v>
      </c>
      <c r="J15" s="14" t="s">
        <v>30</v>
      </c>
      <c r="K15" s="14" t="s">
        <v>188</v>
      </c>
      <c r="L15" s="14" t="s">
        <v>189</v>
      </c>
      <c r="M15" s="14" t="s">
        <v>192</v>
      </c>
      <c r="N15" s="14" t="s">
        <v>193</v>
      </c>
      <c r="O15" s="18" t="s">
        <v>31</v>
      </c>
      <c r="P15" s="18" t="s">
        <v>32</v>
      </c>
      <c r="Q15" s="18" t="s">
        <v>33</v>
      </c>
      <c r="R15" s="18" t="s">
        <v>34</v>
      </c>
    </row>
    <row r="16" spans="1:18" ht="13.8" thickBot="1" x14ac:dyDescent="0.3">
      <c r="A16" s="19"/>
      <c r="B16" s="19"/>
      <c r="C16" s="19"/>
      <c r="D16" s="19"/>
      <c r="E16" s="19" t="s">
        <v>35</v>
      </c>
      <c r="F16" s="19"/>
      <c r="G16" s="20"/>
      <c r="H16" s="21"/>
      <c r="I16" s="19"/>
      <c r="J16" s="19"/>
      <c r="K16" s="19" t="s">
        <v>189</v>
      </c>
      <c r="L16" s="19" t="s">
        <v>191</v>
      </c>
      <c r="M16" s="19" t="s">
        <v>191</v>
      </c>
      <c r="N16" s="19" t="s">
        <v>191</v>
      </c>
      <c r="O16" s="22"/>
      <c r="P16" s="22"/>
      <c r="Q16" s="22"/>
      <c r="R16" s="22"/>
    </row>
    <row r="17" spans="1:197" ht="13.8" thickBot="1" x14ac:dyDescent="0.3">
      <c r="A17" s="23" t="s">
        <v>36</v>
      </c>
      <c r="B17" s="24"/>
      <c r="C17" s="24"/>
      <c r="D17" s="24"/>
      <c r="E17" s="24"/>
      <c r="F17" s="24"/>
      <c r="G17" s="25">
        <f>I11</f>
        <v>1</v>
      </c>
      <c r="H17" s="26"/>
      <c r="I17" s="26"/>
      <c r="J17" s="26"/>
      <c r="K17" s="197"/>
      <c r="L17" s="197"/>
      <c r="M17" s="197"/>
      <c r="N17" s="197"/>
      <c r="O17" s="27"/>
      <c r="P17" s="27"/>
      <c r="Q17" s="27"/>
      <c r="R17" s="27"/>
    </row>
    <row r="18" spans="1:197" ht="13.8" hidden="1" thickBot="1" x14ac:dyDescent="0.3">
      <c r="A18" s="98"/>
      <c r="B18" s="103"/>
      <c r="C18" s="105"/>
      <c r="D18" s="100"/>
      <c r="E18" s="99"/>
      <c r="F18" s="104"/>
      <c r="G18" s="99"/>
      <c r="H18" s="101"/>
      <c r="I18" s="101"/>
      <c r="J18" s="120"/>
      <c r="K18" s="209"/>
      <c r="L18" s="209"/>
      <c r="M18" s="209"/>
      <c r="N18" s="209"/>
      <c r="O18" s="115"/>
      <c r="P18" s="114"/>
      <c r="Q18" s="114"/>
      <c r="R18" s="114"/>
    </row>
    <row r="19" spans="1:197" ht="13.8" thickBot="1" x14ac:dyDescent="0.3">
      <c r="A19" s="30" t="s">
        <v>109</v>
      </c>
      <c r="B19" s="31"/>
      <c r="C19" s="50"/>
      <c r="D19" s="32"/>
      <c r="E19" s="32"/>
      <c r="F19" s="50"/>
      <c r="G19" s="31"/>
      <c r="H19" s="33"/>
      <c r="I19" s="34"/>
      <c r="J19" s="54"/>
      <c r="K19" s="198"/>
      <c r="L19" s="198"/>
      <c r="M19" s="198"/>
      <c r="N19" s="198"/>
      <c r="O19" s="116"/>
      <c r="P19" s="114"/>
      <c r="Q19" s="114"/>
      <c r="R19" s="114"/>
      <c r="GO19" s="3">
        <v>45</v>
      </c>
    </row>
    <row r="20" spans="1:197" ht="15" thickBot="1" x14ac:dyDescent="0.35">
      <c r="A20" s="102" t="s">
        <v>75</v>
      </c>
      <c r="B20" s="35" t="s">
        <v>40</v>
      </c>
      <c r="C20" s="106">
        <f>C22*0.88</f>
        <v>69.87</v>
      </c>
      <c r="D20" s="37" t="s">
        <v>39</v>
      </c>
      <c r="E20" s="28">
        <v>36.03</v>
      </c>
      <c r="F20" s="109">
        <v>26</v>
      </c>
      <c r="G20" s="36">
        <f>C20*G17</f>
        <v>69.87</v>
      </c>
      <c r="H20" s="36">
        <f>16/G20</f>
        <v>0.23</v>
      </c>
      <c r="I20" s="36">
        <f>J20/2</f>
        <v>2.98</v>
      </c>
      <c r="J20" s="38">
        <f>F20/G20*16</f>
        <v>5.9539999999999997</v>
      </c>
      <c r="K20" s="365"/>
      <c r="L20" s="38">
        <f t="shared" ref="L20" si="0">(F20*K20/1000)/0.73</f>
        <v>0</v>
      </c>
      <c r="M20" s="38">
        <f>L20*0.4</f>
        <v>0</v>
      </c>
      <c r="N20" s="38">
        <f>L20*0.05</f>
        <v>0</v>
      </c>
      <c r="O20" s="117">
        <f>E20*J20</f>
        <v>214.52</v>
      </c>
      <c r="P20" s="114">
        <f>O20*0.5</f>
        <v>107.26</v>
      </c>
      <c r="Q20" s="114">
        <f t="shared" ref="Q20:Q43" si="1">(O20+P20)*0.22</f>
        <v>70.790000000000006</v>
      </c>
      <c r="R20" s="114">
        <f t="shared" ref="R20:R43" si="2">O20+P20+Q20</f>
        <v>392.57</v>
      </c>
    </row>
    <row r="21" spans="1:197" ht="13.8" thickBot="1" x14ac:dyDescent="0.3">
      <c r="A21" s="39" t="s">
        <v>72</v>
      </c>
      <c r="B21" s="35" t="s">
        <v>40</v>
      </c>
      <c r="C21" s="106">
        <v>98</v>
      </c>
      <c r="D21" s="125"/>
      <c r="E21" s="40"/>
      <c r="F21" s="109">
        <v>4</v>
      </c>
      <c r="G21" s="36">
        <f>C21*G17</f>
        <v>98</v>
      </c>
      <c r="H21" s="36">
        <f>16/G21</f>
        <v>0.16</v>
      </c>
      <c r="I21" s="36">
        <f>J21/2</f>
        <v>0.33</v>
      </c>
      <c r="J21" s="38">
        <f>F21/G21*16</f>
        <v>0.65300000000000002</v>
      </c>
      <c r="K21" s="365"/>
      <c r="L21" s="38">
        <f t="shared" ref="L21:L22" si="3">(F21*K21/1000)/0.73</f>
        <v>0</v>
      </c>
      <c r="M21" s="38">
        <f t="shared" ref="M21:M22" si="4">L21*0.4</f>
        <v>0</v>
      </c>
      <c r="N21" s="38">
        <f t="shared" ref="N21:N22" si="5">L21*0.05</f>
        <v>0</v>
      </c>
      <c r="O21" s="117">
        <f>E20*J21</f>
        <v>23.53</v>
      </c>
      <c r="P21" s="114">
        <f t="shared" ref="P21:P22" si="6">O21*0.5</f>
        <v>11.77</v>
      </c>
      <c r="Q21" s="114">
        <f>(O21+P21)*0.22</f>
        <v>7.77</v>
      </c>
      <c r="R21" s="114">
        <f t="shared" si="2"/>
        <v>43.07</v>
      </c>
    </row>
    <row r="22" spans="1:197" ht="13.8" thickBot="1" x14ac:dyDescent="0.3">
      <c r="A22" s="41" t="s">
        <v>73</v>
      </c>
      <c r="B22" s="42" t="s">
        <v>40</v>
      </c>
      <c r="C22" s="106">
        <v>79.400000000000006</v>
      </c>
      <c r="D22" s="43"/>
      <c r="E22" s="44"/>
      <c r="F22" s="110">
        <v>123</v>
      </c>
      <c r="G22" s="45">
        <f>C22*G17</f>
        <v>79.400000000000006</v>
      </c>
      <c r="H22" s="45">
        <f>16/G22</f>
        <v>0.2</v>
      </c>
      <c r="I22" s="45">
        <f>J22/2</f>
        <v>12.39</v>
      </c>
      <c r="J22" s="46">
        <f>F22/G22*16</f>
        <v>24.786000000000001</v>
      </c>
      <c r="K22" s="366"/>
      <c r="L22" s="38">
        <f t="shared" si="3"/>
        <v>0</v>
      </c>
      <c r="M22" s="38">
        <f t="shared" si="4"/>
        <v>0</v>
      </c>
      <c r="N22" s="38">
        <f t="shared" si="5"/>
        <v>0</v>
      </c>
      <c r="O22" s="118">
        <f>E20*J22</f>
        <v>893.04</v>
      </c>
      <c r="P22" s="114">
        <f t="shared" si="6"/>
        <v>446.52</v>
      </c>
      <c r="Q22" s="114">
        <f>(O22+P22)*0.22</f>
        <v>294.7</v>
      </c>
      <c r="R22" s="114">
        <f t="shared" si="2"/>
        <v>1634.26</v>
      </c>
    </row>
    <row r="23" spans="1:197" ht="13.8" thickBot="1" x14ac:dyDescent="0.3">
      <c r="A23" s="127" t="s">
        <v>110</v>
      </c>
      <c r="B23" s="48"/>
      <c r="C23" s="49"/>
      <c r="D23" s="50"/>
      <c r="E23" s="48"/>
      <c r="F23" s="111"/>
      <c r="G23" s="49"/>
      <c r="H23" s="49"/>
      <c r="I23" s="49"/>
      <c r="J23" s="51"/>
      <c r="K23" s="367"/>
      <c r="L23" s="201"/>
      <c r="M23" s="201"/>
      <c r="N23" s="201"/>
      <c r="O23" s="52"/>
      <c r="P23" s="114"/>
      <c r="Q23" s="114"/>
      <c r="R23" s="114"/>
      <c r="T23" s="8"/>
    </row>
    <row r="24" spans="1:197" ht="13.8" thickBot="1" x14ac:dyDescent="0.3">
      <c r="A24" s="39" t="s">
        <v>42</v>
      </c>
      <c r="B24" s="35" t="s">
        <v>40</v>
      </c>
      <c r="C24" s="106">
        <f>C26*0.88</f>
        <v>26.66</v>
      </c>
      <c r="D24" s="125">
        <v>4</v>
      </c>
      <c r="E24" s="28">
        <v>30.88</v>
      </c>
      <c r="F24" s="109">
        <v>26</v>
      </c>
      <c r="G24" s="36">
        <f>C24*G17</f>
        <v>26.66</v>
      </c>
      <c r="H24" s="36">
        <f>8/G24</f>
        <v>0.3</v>
      </c>
      <c r="I24" s="36">
        <f>J24</f>
        <v>7.8</v>
      </c>
      <c r="J24" s="38">
        <f>F24/G24*8</f>
        <v>7.8019999999999996</v>
      </c>
      <c r="K24" s="365"/>
      <c r="L24" s="38">
        <f t="shared" ref="L24:L26" si="7">(F24*K24/1000)/0.73</f>
        <v>0</v>
      </c>
      <c r="M24" s="38">
        <f t="shared" ref="M24:M26" si="8">L24*0.4</f>
        <v>0</v>
      </c>
      <c r="N24" s="38">
        <f t="shared" ref="N24:N26" si="9">L24*0.05</f>
        <v>0</v>
      </c>
      <c r="O24" s="117">
        <f>E24*J24</f>
        <v>240.93</v>
      </c>
      <c r="P24" s="114">
        <f>O24*0.5</f>
        <v>120.47</v>
      </c>
      <c r="Q24" s="114">
        <f t="shared" si="1"/>
        <v>79.510000000000005</v>
      </c>
      <c r="R24" s="114">
        <f t="shared" si="2"/>
        <v>440.91</v>
      </c>
    </row>
    <row r="25" spans="1:197" ht="13.8" thickBot="1" x14ac:dyDescent="0.3">
      <c r="A25" s="39" t="s">
        <v>72</v>
      </c>
      <c r="B25" s="35" t="s">
        <v>40</v>
      </c>
      <c r="C25" s="106">
        <v>37.299999999999997</v>
      </c>
      <c r="D25" s="40"/>
      <c r="E25" s="125"/>
      <c r="F25" s="109">
        <v>4</v>
      </c>
      <c r="G25" s="36">
        <f>C25*G17</f>
        <v>37.299999999999997</v>
      </c>
      <c r="H25" s="36">
        <f>8/G25</f>
        <v>0.21</v>
      </c>
      <c r="I25" s="36">
        <f>J25</f>
        <v>0.86</v>
      </c>
      <c r="J25" s="38">
        <f>F25/G25*8</f>
        <v>0.85799999999999998</v>
      </c>
      <c r="K25" s="365"/>
      <c r="L25" s="38">
        <f t="shared" si="7"/>
        <v>0</v>
      </c>
      <c r="M25" s="38">
        <f t="shared" si="8"/>
        <v>0</v>
      </c>
      <c r="N25" s="38">
        <f t="shared" si="9"/>
        <v>0</v>
      </c>
      <c r="O25" s="117">
        <f>E24*J25</f>
        <v>26.5</v>
      </c>
      <c r="P25" s="114">
        <f t="shared" ref="P25:P26" si="10">O25*0.5</f>
        <v>13.25</v>
      </c>
      <c r="Q25" s="114">
        <f t="shared" si="1"/>
        <v>8.75</v>
      </c>
      <c r="R25" s="114">
        <f t="shared" si="2"/>
        <v>48.5</v>
      </c>
    </row>
    <row r="26" spans="1:197" ht="13.8" thickBot="1" x14ac:dyDescent="0.3">
      <c r="A26" s="41" t="s">
        <v>73</v>
      </c>
      <c r="B26" s="42" t="s">
        <v>40</v>
      </c>
      <c r="C26" s="106">
        <v>30.3</v>
      </c>
      <c r="D26" s="43"/>
      <c r="E26" s="43"/>
      <c r="F26" s="110">
        <v>123</v>
      </c>
      <c r="G26" s="45">
        <f>C26*G17</f>
        <v>30.3</v>
      </c>
      <c r="H26" s="45">
        <f>8/G26</f>
        <v>0.26</v>
      </c>
      <c r="I26" s="45">
        <f>J26</f>
        <v>32.479999999999997</v>
      </c>
      <c r="J26" s="46">
        <f>F26/G26*8</f>
        <v>32.475000000000001</v>
      </c>
      <c r="K26" s="366"/>
      <c r="L26" s="38">
        <f t="shared" si="7"/>
        <v>0</v>
      </c>
      <c r="M26" s="38">
        <f t="shared" si="8"/>
        <v>0</v>
      </c>
      <c r="N26" s="38">
        <f t="shared" si="9"/>
        <v>0</v>
      </c>
      <c r="O26" s="118">
        <f>E24*J26</f>
        <v>1002.83</v>
      </c>
      <c r="P26" s="114">
        <f t="shared" si="10"/>
        <v>501.42</v>
      </c>
      <c r="Q26" s="114">
        <f t="shared" si="1"/>
        <v>330.94</v>
      </c>
      <c r="R26" s="114">
        <f t="shared" si="2"/>
        <v>1835.19</v>
      </c>
    </row>
    <row r="27" spans="1:197" ht="13.8" thickBot="1" x14ac:dyDescent="0.3">
      <c r="A27" s="47" t="s">
        <v>112</v>
      </c>
      <c r="B27" s="32"/>
      <c r="C27" s="50"/>
      <c r="D27" s="53"/>
      <c r="E27" s="53"/>
      <c r="F27" s="112"/>
      <c r="G27" s="34"/>
      <c r="H27" s="34"/>
      <c r="I27" s="34"/>
      <c r="J27" s="54"/>
      <c r="K27" s="368"/>
      <c r="L27" s="198"/>
      <c r="M27" s="198"/>
      <c r="N27" s="198"/>
      <c r="O27" s="52"/>
      <c r="P27" s="114"/>
      <c r="Q27" s="114"/>
      <c r="R27" s="114"/>
    </row>
    <row r="28" spans="1:197" ht="15" thickBot="1" x14ac:dyDescent="0.35">
      <c r="A28" s="159" t="s">
        <v>115</v>
      </c>
      <c r="B28" s="35" t="s">
        <v>40</v>
      </c>
      <c r="C28" s="106">
        <f>C30*0.88</f>
        <v>41.71</v>
      </c>
      <c r="D28" s="37" t="s">
        <v>43</v>
      </c>
      <c r="E28" s="28">
        <v>35.22</v>
      </c>
      <c r="F28" s="109">
        <v>0</v>
      </c>
      <c r="G28" s="56">
        <f>C28*G17</f>
        <v>41.71</v>
      </c>
      <c r="H28" s="36">
        <f t="shared" ref="H28:H39" si="11">16/G28</f>
        <v>0.38</v>
      </c>
      <c r="I28" s="36">
        <f t="shared" ref="I28:I39" si="12">J28/2</f>
        <v>0</v>
      </c>
      <c r="J28" s="38">
        <f>F28/G28*16</f>
        <v>0</v>
      </c>
      <c r="K28" s="365"/>
      <c r="L28" s="38">
        <f t="shared" ref="L28:L39" si="13">(F28*K28/1000)/0.73</f>
        <v>0</v>
      </c>
      <c r="M28" s="38">
        <f t="shared" ref="M28:M39" si="14">L28*0.4</f>
        <v>0</v>
      </c>
      <c r="N28" s="38">
        <f t="shared" ref="N28:N39" si="15">L28*0.05</f>
        <v>0</v>
      </c>
      <c r="O28" s="117">
        <f>E28*J28</f>
        <v>0</v>
      </c>
      <c r="P28" s="114">
        <f t="shared" ref="P28:P39" si="16">O28*0.5</f>
        <v>0</v>
      </c>
      <c r="Q28" s="114">
        <f t="shared" si="1"/>
        <v>0</v>
      </c>
      <c r="R28" s="114">
        <f t="shared" si="2"/>
        <v>0</v>
      </c>
    </row>
    <row r="29" spans="1:197" ht="13.8" thickBot="1" x14ac:dyDescent="0.3">
      <c r="A29" s="39" t="s">
        <v>72</v>
      </c>
      <c r="B29" s="35" t="s">
        <v>40</v>
      </c>
      <c r="C29" s="106">
        <v>57.1</v>
      </c>
      <c r="D29" s="125"/>
      <c r="E29" s="125"/>
      <c r="F29" s="109">
        <v>0</v>
      </c>
      <c r="G29" s="56">
        <f>C29*G17</f>
        <v>57.1</v>
      </c>
      <c r="H29" s="36">
        <f t="shared" si="11"/>
        <v>0.28000000000000003</v>
      </c>
      <c r="I29" s="36">
        <f t="shared" si="12"/>
        <v>0</v>
      </c>
      <c r="J29" s="38">
        <f>F29/G29*16</f>
        <v>0</v>
      </c>
      <c r="K29" s="365"/>
      <c r="L29" s="38">
        <f t="shared" si="13"/>
        <v>0</v>
      </c>
      <c r="M29" s="38">
        <f t="shared" si="14"/>
        <v>0</v>
      </c>
      <c r="N29" s="38">
        <f t="shared" si="15"/>
        <v>0</v>
      </c>
      <c r="O29" s="117">
        <f>E28*J29</f>
        <v>0</v>
      </c>
      <c r="P29" s="114">
        <f t="shared" si="16"/>
        <v>0</v>
      </c>
      <c r="Q29" s="114">
        <f t="shared" si="1"/>
        <v>0</v>
      </c>
      <c r="R29" s="114">
        <f t="shared" si="2"/>
        <v>0</v>
      </c>
    </row>
    <row r="30" spans="1:197" ht="13.8" thickBot="1" x14ac:dyDescent="0.3">
      <c r="A30" s="41" t="s">
        <v>73</v>
      </c>
      <c r="B30" s="35" t="s">
        <v>40</v>
      </c>
      <c r="C30" s="106">
        <v>47.4</v>
      </c>
      <c r="D30" s="125"/>
      <c r="E30" s="125"/>
      <c r="F30" s="109">
        <v>5</v>
      </c>
      <c r="G30" s="56">
        <f>C30*G17</f>
        <v>47.4</v>
      </c>
      <c r="H30" s="36">
        <f t="shared" si="11"/>
        <v>0.34</v>
      </c>
      <c r="I30" s="36">
        <f t="shared" si="12"/>
        <v>0.84</v>
      </c>
      <c r="J30" s="38">
        <f>F30/G30*16</f>
        <v>1.6879999999999999</v>
      </c>
      <c r="K30" s="365"/>
      <c r="L30" s="38">
        <f t="shared" si="13"/>
        <v>0</v>
      </c>
      <c r="M30" s="38">
        <f t="shared" si="14"/>
        <v>0</v>
      </c>
      <c r="N30" s="38">
        <f t="shared" si="15"/>
        <v>0</v>
      </c>
      <c r="O30" s="117">
        <f>E28*J30</f>
        <v>59.45</v>
      </c>
      <c r="P30" s="114">
        <f t="shared" si="16"/>
        <v>29.73</v>
      </c>
      <c r="Q30" s="114">
        <f t="shared" si="1"/>
        <v>19.62</v>
      </c>
      <c r="R30" s="114">
        <f t="shared" si="2"/>
        <v>108.8</v>
      </c>
    </row>
    <row r="31" spans="1:197" ht="15" thickBot="1" x14ac:dyDescent="0.35">
      <c r="A31" s="159" t="s">
        <v>116</v>
      </c>
      <c r="B31" s="35" t="s">
        <v>40</v>
      </c>
      <c r="C31" s="106">
        <f>C33*0.88</f>
        <v>0.88</v>
      </c>
      <c r="D31" s="37" t="s">
        <v>43</v>
      </c>
      <c r="E31" s="28">
        <v>35.22</v>
      </c>
      <c r="F31" s="109">
        <v>0</v>
      </c>
      <c r="G31" s="36">
        <f>C31*G17</f>
        <v>0.88</v>
      </c>
      <c r="H31" s="36">
        <f t="shared" si="11"/>
        <v>18.18</v>
      </c>
      <c r="I31" s="36">
        <f t="shared" si="12"/>
        <v>0</v>
      </c>
      <c r="J31" s="38">
        <f t="shared" ref="J31:J39" si="17">F31/G31*16</f>
        <v>0</v>
      </c>
      <c r="K31" s="365"/>
      <c r="L31" s="38">
        <f t="shared" si="13"/>
        <v>0</v>
      </c>
      <c r="M31" s="38">
        <f t="shared" si="14"/>
        <v>0</v>
      </c>
      <c r="N31" s="38">
        <f t="shared" si="15"/>
        <v>0</v>
      </c>
      <c r="O31" s="117">
        <f>E31*J31</f>
        <v>0</v>
      </c>
      <c r="P31" s="114">
        <f t="shared" si="16"/>
        <v>0</v>
      </c>
      <c r="Q31" s="114">
        <f t="shared" si="1"/>
        <v>0</v>
      </c>
      <c r="R31" s="114">
        <f t="shared" si="2"/>
        <v>0</v>
      </c>
    </row>
    <row r="32" spans="1:197" ht="13.8" thickBot="1" x14ac:dyDescent="0.3">
      <c r="A32" s="39" t="s">
        <v>72</v>
      </c>
      <c r="B32" s="35" t="s">
        <v>40</v>
      </c>
      <c r="C32" s="106">
        <v>1</v>
      </c>
      <c r="D32" s="57"/>
      <c r="E32" s="125"/>
      <c r="F32" s="109">
        <v>0</v>
      </c>
      <c r="G32" s="36">
        <f>C32*G17</f>
        <v>1</v>
      </c>
      <c r="H32" s="36">
        <f t="shared" si="11"/>
        <v>16</v>
      </c>
      <c r="I32" s="36">
        <f t="shared" si="12"/>
        <v>0</v>
      </c>
      <c r="J32" s="38">
        <f t="shared" si="17"/>
        <v>0</v>
      </c>
      <c r="K32" s="365"/>
      <c r="L32" s="38">
        <f t="shared" si="13"/>
        <v>0</v>
      </c>
      <c r="M32" s="38">
        <f t="shared" si="14"/>
        <v>0</v>
      </c>
      <c r="N32" s="38">
        <f t="shared" si="15"/>
        <v>0</v>
      </c>
      <c r="O32" s="117">
        <f>E31*J32</f>
        <v>0</v>
      </c>
      <c r="P32" s="114">
        <f t="shared" si="16"/>
        <v>0</v>
      </c>
      <c r="Q32" s="114">
        <f t="shared" si="1"/>
        <v>0</v>
      </c>
      <c r="R32" s="114">
        <f t="shared" si="2"/>
        <v>0</v>
      </c>
    </row>
    <row r="33" spans="1:18" ht="13.8" thickBot="1" x14ac:dyDescent="0.3">
      <c r="A33" s="41" t="s">
        <v>73</v>
      </c>
      <c r="B33" s="35" t="s">
        <v>40</v>
      </c>
      <c r="C33" s="106">
        <v>1</v>
      </c>
      <c r="D33" s="125"/>
      <c r="E33" s="125"/>
      <c r="F33" s="109">
        <v>0</v>
      </c>
      <c r="G33" s="36">
        <f>C33*G17</f>
        <v>1</v>
      </c>
      <c r="H33" s="36">
        <f t="shared" si="11"/>
        <v>16</v>
      </c>
      <c r="I33" s="36">
        <f t="shared" si="12"/>
        <v>0</v>
      </c>
      <c r="J33" s="38">
        <f t="shared" si="17"/>
        <v>0</v>
      </c>
      <c r="K33" s="365"/>
      <c r="L33" s="38">
        <f t="shared" si="13"/>
        <v>0</v>
      </c>
      <c r="M33" s="38">
        <f t="shared" si="14"/>
        <v>0</v>
      </c>
      <c r="N33" s="38">
        <f t="shared" si="15"/>
        <v>0</v>
      </c>
      <c r="O33" s="117">
        <f>E31*J33</f>
        <v>0</v>
      </c>
      <c r="P33" s="114">
        <f t="shared" si="16"/>
        <v>0</v>
      </c>
      <c r="Q33" s="114">
        <f t="shared" si="1"/>
        <v>0</v>
      </c>
      <c r="R33" s="114">
        <f t="shared" si="2"/>
        <v>0</v>
      </c>
    </row>
    <row r="34" spans="1:18" ht="15" thickBot="1" x14ac:dyDescent="0.35">
      <c r="A34" s="55" t="s">
        <v>113</v>
      </c>
      <c r="B34" s="35" t="s">
        <v>40</v>
      </c>
      <c r="C34" s="106">
        <f>C36*0.88</f>
        <v>41.71</v>
      </c>
      <c r="D34" s="37" t="s">
        <v>43</v>
      </c>
      <c r="E34" s="28">
        <v>35.22</v>
      </c>
      <c r="F34" s="109">
        <v>26</v>
      </c>
      <c r="G34" s="36">
        <f>C34*G17</f>
        <v>41.71</v>
      </c>
      <c r="H34" s="36">
        <f t="shared" si="11"/>
        <v>0.38</v>
      </c>
      <c r="I34" s="36">
        <f t="shared" si="12"/>
        <v>4.99</v>
      </c>
      <c r="J34" s="38">
        <f t="shared" si="17"/>
        <v>9.9740000000000002</v>
      </c>
      <c r="K34" s="365"/>
      <c r="L34" s="38">
        <f t="shared" si="13"/>
        <v>0</v>
      </c>
      <c r="M34" s="38">
        <f t="shared" si="14"/>
        <v>0</v>
      </c>
      <c r="N34" s="38">
        <f t="shared" si="15"/>
        <v>0</v>
      </c>
      <c r="O34" s="117">
        <f>E34*J34</f>
        <v>351.28</v>
      </c>
      <c r="P34" s="114">
        <f t="shared" si="16"/>
        <v>175.64</v>
      </c>
      <c r="Q34" s="114">
        <f t="shared" si="1"/>
        <v>115.92</v>
      </c>
      <c r="R34" s="114">
        <f t="shared" si="2"/>
        <v>642.84</v>
      </c>
    </row>
    <row r="35" spans="1:18" ht="13.8" thickBot="1" x14ac:dyDescent="0.3">
      <c r="A35" s="39" t="s">
        <v>72</v>
      </c>
      <c r="B35" s="35" t="s">
        <v>40</v>
      </c>
      <c r="C35" s="106">
        <v>57.1</v>
      </c>
      <c r="D35" s="125"/>
      <c r="E35" s="125"/>
      <c r="F35" s="109">
        <v>4</v>
      </c>
      <c r="G35" s="36">
        <f>C35*G17</f>
        <v>57.1</v>
      </c>
      <c r="H35" s="36">
        <f t="shared" si="11"/>
        <v>0.28000000000000003</v>
      </c>
      <c r="I35" s="36">
        <f t="shared" si="12"/>
        <v>0.56000000000000005</v>
      </c>
      <c r="J35" s="38">
        <f t="shared" si="17"/>
        <v>1.121</v>
      </c>
      <c r="K35" s="365"/>
      <c r="L35" s="38">
        <f t="shared" si="13"/>
        <v>0</v>
      </c>
      <c r="M35" s="38">
        <f t="shared" si="14"/>
        <v>0</v>
      </c>
      <c r="N35" s="38">
        <f t="shared" si="15"/>
        <v>0</v>
      </c>
      <c r="O35" s="117">
        <f>E34*J35</f>
        <v>39.479999999999997</v>
      </c>
      <c r="P35" s="114">
        <f t="shared" si="16"/>
        <v>19.739999999999998</v>
      </c>
      <c r="Q35" s="114">
        <f t="shared" si="1"/>
        <v>13.03</v>
      </c>
      <c r="R35" s="114">
        <f t="shared" si="2"/>
        <v>72.25</v>
      </c>
    </row>
    <row r="36" spans="1:18" ht="13.8" thickBot="1" x14ac:dyDescent="0.3">
      <c r="A36" s="41" t="s">
        <v>73</v>
      </c>
      <c r="B36" s="35" t="s">
        <v>40</v>
      </c>
      <c r="C36" s="106">
        <v>47.4</v>
      </c>
      <c r="D36" s="125"/>
      <c r="E36" s="125"/>
      <c r="F36" s="109">
        <v>118</v>
      </c>
      <c r="G36" s="36">
        <f>C36*G17</f>
        <v>47.4</v>
      </c>
      <c r="H36" s="36">
        <f>16/G36</f>
        <v>0.34</v>
      </c>
      <c r="I36" s="36">
        <f>J36/2</f>
        <v>19.920000000000002</v>
      </c>
      <c r="J36" s="38">
        <f>F36/G36*16</f>
        <v>39.831000000000003</v>
      </c>
      <c r="K36" s="365"/>
      <c r="L36" s="38">
        <f t="shared" si="13"/>
        <v>0</v>
      </c>
      <c r="M36" s="38">
        <f t="shared" si="14"/>
        <v>0</v>
      </c>
      <c r="N36" s="38">
        <f t="shared" si="15"/>
        <v>0</v>
      </c>
      <c r="O36" s="117">
        <f>E34*J36</f>
        <v>1402.85</v>
      </c>
      <c r="P36" s="114">
        <f t="shared" si="16"/>
        <v>701.43</v>
      </c>
      <c r="Q36" s="114">
        <f t="shared" si="1"/>
        <v>462.94</v>
      </c>
      <c r="R36" s="114">
        <f t="shared" si="2"/>
        <v>2567.2199999999998</v>
      </c>
    </row>
    <row r="37" spans="1:18" ht="15" thickBot="1" x14ac:dyDescent="0.35">
      <c r="A37" s="55" t="s">
        <v>114</v>
      </c>
      <c r="B37" s="35" t="s">
        <v>40</v>
      </c>
      <c r="C37" s="106">
        <f>C39*0.88</f>
        <v>29.39</v>
      </c>
      <c r="D37" s="37" t="s">
        <v>43</v>
      </c>
      <c r="E37" s="28">
        <v>35.22</v>
      </c>
      <c r="F37" s="109">
        <v>0</v>
      </c>
      <c r="G37" s="36">
        <f>C37*G17</f>
        <v>29.39</v>
      </c>
      <c r="H37" s="36">
        <f t="shared" si="11"/>
        <v>0.54</v>
      </c>
      <c r="I37" s="36">
        <f t="shared" si="12"/>
        <v>0</v>
      </c>
      <c r="J37" s="38">
        <f t="shared" si="17"/>
        <v>0</v>
      </c>
      <c r="K37" s="365"/>
      <c r="L37" s="38">
        <f t="shared" si="13"/>
        <v>0</v>
      </c>
      <c r="M37" s="38">
        <f t="shared" si="14"/>
        <v>0</v>
      </c>
      <c r="N37" s="38">
        <f t="shared" si="15"/>
        <v>0</v>
      </c>
      <c r="O37" s="117">
        <f>E37*J37</f>
        <v>0</v>
      </c>
      <c r="P37" s="114">
        <f t="shared" si="16"/>
        <v>0</v>
      </c>
      <c r="Q37" s="114">
        <f t="shared" si="1"/>
        <v>0</v>
      </c>
      <c r="R37" s="114">
        <f t="shared" si="2"/>
        <v>0</v>
      </c>
    </row>
    <row r="38" spans="1:18" ht="13.8" thickBot="1" x14ac:dyDescent="0.3">
      <c r="A38" s="39" t="s">
        <v>72</v>
      </c>
      <c r="B38" s="35" t="s">
        <v>40</v>
      </c>
      <c r="C38" s="106">
        <v>40.299999999999997</v>
      </c>
      <c r="D38" s="125"/>
      <c r="E38" s="125"/>
      <c r="F38" s="109">
        <v>0</v>
      </c>
      <c r="G38" s="36">
        <f>C38*G17</f>
        <v>40.299999999999997</v>
      </c>
      <c r="H38" s="36">
        <f t="shared" si="11"/>
        <v>0.4</v>
      </c>
      <c r="I38" s="36">
        <f t="shared" si="12"/>
        <v>0</v>
      </c>
      <c r="J38" s="38">
        <f t="shared" si="17"/>
        <v>0</v>
      </c>
      <c r="K38" s="365"/>
      <c r="L38" s="38">
        <f t="shared" si="13"/>
        <v>0</v>
      </c>
      <c r="M38" s="38">
        <f t="shared" si="14"/>
        <v>0</v>
      </c>
      <c r="N38" s="38">
        <f t="shared" si="15"/>
        <v>0</v>
      </c>
      <c r="O38" s="117">
        <f>E37*J38</f>
        <v>0</v>
      </c>
      <c r="P38" s="114">
        <f t="shared" si="16"/>
        <v>0</v>
      </c>
      <c r="Q38" s="114">
        <f t="shared" si="1"/>
        <v>0</v>
      </c>
      <c r="R38" s="114">
        <f t="shared" si="2"/>
        <v>0</v>
      </c>
    </row>
    <row r="39" spans="1:18" ht="13.8" thickBot="1" x14ac:dyDescent="0.3">
      <c r="A39" s="41" t="s">
        <v>73</v>
      </c>
      <c r="B39" s="42" t="s">
        <v>40</v>
      </c>
      <c r="C39" s="106">
        <v>33.4</v>
      </c>
      <c r="D39" s="43"/>
      <c r="E39" s="43"/>
      <c r="F39" s="110">
        <v>0</v>
      </c>
      <c r="G39" s="45">
        <f>C39*G17</f>
        <v>33.4</v>
      </c>
      <c r="H39" s="45">
        <f t="shared" si="11"/>
        <v>0.48</v>
      </c>
      <c r="I39" s="45">
        <f t="shared" si="12"/>
        <v>0</v>
      </c>
      <c r="J39" s="46">
        <f t="shared" si="17"/>
        <v>0</v>
      </c>
      <c r="K39" s="366"/>
      <c r="L39" s="38">
        <f t="shared" si="13"/>
        <v>0</v>
      </c>
      <c r="M39" s="38">
        <f t="shared" si="14"/>
        <v>0</v>
      </c>
      <c r="N39" s="38">
        <f t="shared" si="15"/>
        <v>0</v>
      </c>
      <c r="O39" s="118">
        <f>E37*J39</f>
        <v>0</v>
      </c>
      <c r="P39" s="114">
        <f t="shared" si="16"/>
        <v>0</v>
      </c>
      <c r="Q39" s="114">
        <f t="shared" si="1"/>
        <v>0</v>
      </c>
      <c r="R39" s="114">
        <f t="shared" si="2"/>
        <v>0</v>
      </c>
    </row>
    <row r="40" spans="1:18" ht="13.8" thickBot="1" x14ac:dyDescent="0.3">
      <c r="A40" s="47" t="s">
        <v>44</v>
      </c>
      <c r="B40" s="32"/>
      <c r="C40" s="50"/>
      <c r="D40" s="31"/>
      <c r="E40" s="31"/>
      <c r="F40" s="112"/>
      <c r="G40" s="33"/>
      <c r="H40" s="34"/>
      <c r="I40" s="34"/>
      <c r="J40" s="54"/>
      <c r="K40" s="368"/>
      <c r="L40" s="198"/>
      <c r="M40" s="198"/>
      <c r="N40" s="198"/>
      <c r="O40" s="52"/>
      <c r="P40" s="114"/>
      <c r="Q40" s="114"/>
      <c r="R40" s="114"/>
    </row>
    <row r="41" spans="1:18" ht="13.8" thickBot="1" x14ac:dyDescent="0.3">
      <c r="A41" s="39" t="s">
        <v>42</v>
      </c>
      <c r="B41" s="35" t="s">
        <v>40</v>
      </c>
      <c r="C41" s="107">
        <f>C43*0.88</f>
        <v>37.14</v>
      </c>
      <c r="D41" s="59">
        <v>3</v>
      </c>
      <c r="E41" s="28">
        <v>27.45</v>
      </c>
      <c r="F41" s="109">
        <f>F20-F37</f>
        <v>26</v>
      </c>
      <c r="G41" s="56">
        <f>C41*G17</f>
        <v>37.14</v>
      </c>
      <c r="H41" s="36">
        <f>8/G41</f>
        <v>0.22</v>
      </c>
      <c r="I41" s="36"/>
      <c r="J41" s="38">
        <f>F41/G41*8</f>
        <v>5.6</v>
      </c>
      <c r="K41" s="365"/>
      <c r="L41" s="199"/>
      <c r="M41" s="199"/>
      <c r="N41" s="199"/>
      <c r="O41" s="117">
        <f>E41*J41</f>
        <v>153.72</v>
      </c>
      <c r="P41" s="114">
        <f>O41*0.5</f>
        <v>76.86</v>
      </c>
      <c r="Q41" s="114">
        <f t="shared" si="1"/>
        <v>50.73</v>
      </c>
      <c r="R41" s="114">
        <f t="shared" si="2"/>
        <v>281.31</v>
      </c>
    </row>
    <row r="42" spans="1:18" ht="13.8" thickBot="1" x14ac:dyDescent="0.3">
      <c r="A42" s="39" t="s">
        <v>72</v>
      </c>
      <c r="B42" s="35" t="s">
        <v>40</v>
      </c>
      <c r="C42" s="107">
        <v>63.4</v>
      </c>
      <c r="D42" s="60"/>
      <c r="E42" s="60"/>
      <c r="F42" s="109">
        <f>F21-F38</f>
        <v>4</v>
      </c>
      <c r="G42" s="60">
        <f>C42*G17</f>
        <v>63.4</v>
      </c>
      <c r="H42" s="36">
        <f>8/G42</f>
        <v>0.13</v>
      </c>
      <c r="I42" s="60"/>
      <c r="J42" s="38">
        <f>F42/G42*8</f>
        <v>0.505</v>
      </c>
      <c r="K42" s="365"/>
      <c r="L42" s="199"/>
      <c r="M42" s="199"/>
      <c r="N42" s="199"/>
      <c r="O42" s="117">
        <f>E41*J42</f>
        <v>13.86</v>
      </c>
      <c r="P42" s="114">
        <f t="shared" ref="P42:P43" si="18">O42*0.5</f>
        <v>6.93</v>
      </c>
      <c r="Q42" s="114">
        <f t="shared" si="1"/>
        <v>4.57</v>
      </c>
      <c r="R42" s="114">
        <f t="shared" si="2"/>
        <v>25.36</v>
      </c>
    </row>
    <row r="43" spans="1:18" ht="13.8" thickBot="1" x14ac:dyDescent="0.3">
      <c r="A43" s="41" t="s">
        <v>73</v>
      </c>
      <c r="B43" s="42" t="s">
        <v>40</v>
      </c>
      <c r="C43" s="107">
        <v>42.2</v>
      </c>
      <c r="D43" s="45"/>
      <c r="E43" s="45"/>
      <c r="F43" s="110">
        <f>F22-F39</f>
        <v>123</v>
      </c>
      <c r="G43" s="45">
        <f>C43*G17</f>
        <v>42.2</v>
      </c>
      <c r="H43" s="45">
        <f>8/G43</f>
        <v>0.19</v>
      </c>
      <c r="I43" s="61"/>
      <c r="J43" s="46">
        <f>F43/G43*8</f>
        <v>23.318000000000001</v>
      </c>
      <c r="K43" s="366"/>
      <c r="L43" s="200"/>
      <c r="M43" s="200"/>
      <c r="N43" s="200"/>
      <c r="O43" s="118">
        <f>E41*J43</f>
        <v>640.08000000000004</v>
      </c>
      <c r="P43" s="114">
        <f t="shared" si="18"/>
        <v>320.04000000000002</v>
      </c>
      <c r="Q43" s="114">
        <f t="shared" si="1"/>
        <v>211.23</v>
      </c>
      <c r="R43" s="114">
        <f t="shared" si="2"/>
        <v>1171.3499999999999</v>
      </c>
    </row>
    <row r="44" spans="1:18" ht="13.8" thickBot="1" x14ac:dyDescent="0.3">
      <c r="A44" s="127" t="s">
        <v>83</v>
      </c>
      <c r="B44" s="32"/>
      <c r="C44" s="50"/>
      <c r="D44" s="31"/>
      <c r="E44" s="31"/>
      <c r="F44" s="112"/>
      <c r="G44" s="33"/>
      <c r="H44" s="34"/>
      <c r="I44" s="34"/>
      <c r="J44" s="54"/>
      <c r="K44" s="368"/>
      <c r="L44" s="198"/>
      <c r="M44" s="198"/>
      <c r="N44" s="198"/>
      <c r="O44" s="52"/>
      <c r="P44" s="114"/>
      <c r="Q44" s="114"/>
      <c r="R44" s="114"/>
    </row>
    <row r="45" spans="1:18" ht="13.8" thickBot="1" x14ac:dyDescent="0.3">
      <c r="A45" s="39" t="s">
        <v>42</v>
      </c>
      <c r="B45" s="35" t="s">
        <v>40</v>
      </c>
      <c r="C45" s="107">
        <f>C47*0.88</f>
        <v>32.56</v>
      </c>
      <c r="D45" s="59">
        <v>3</v>
      </c>
      <c r="E45" s="28">
        <v>27.45</v>
      </c>
      <c r="F45" s="109">
        <f>F20</f>
        <v>26</v>
      </c>
      <c r="G45" s="56">
        <f>C45*G17</f>
        <v>32.56</v>
      </c>
      <c r="H45" s="36">
        <f>8/G45</f>
        <v>0.25</v>
      </c>
      <c r="I45" s="36"/>
      <c r="J45" s="38">
        <f>F45/G45*8</f>
        <v>6.3879999999999999</v>
      </c>
      <c r="K45" s="365"/>
      <c r="L45" s="199"/>
      <c r="M45" s="199"/>
      <c r="N45" s="199"/>
      <c r="O45" s="117">
        <f>E45*J45</f>
        <v>175.35</v>
      </c>
      <c r="P45" s="114">
        <f>O45*0.5</f>
        <v>87.68</v>
      </c>
      <c r="Q45" s="114">
        <f t="shared" ref="Q45:Q47" si="19">(O45+P45)*0.22</f>
        <v>57.87</v>
      </c>
      <c r="R45" s="114">
        <f t="shared" ref="R45:R47" si="20">O45+P45+Q45</f>
        <v>320.89999999999998</v>
      </c>
    </row>
    <row r="46" spans="1:18" ht="13.8" thickBot="1" x14ac:dyDescent="0.3">
      <c r="A46" s="39" t="s">
        <v>72</v>
      </c>
      <c r="B46" s="35" t="s">
        <v>40</v>
      </c>
      <c r="C46" s="107">
        <v>55.2</v>
      </c>
      <c r="D46" s="60"/>
      <c r="E46" s="60"/>
      <c r="F46" s="109">
        <f>F21</f>
        <v>4</v>
      </c>
      <c r="G46" s="60">
        <f>C46*G17</f>
        <v>55.2</v>
      </c>
      <c r="H46" s="36">
        <f>8/G46</f>
        <v>0.14000000000000001</v>
      </c>
      <c r="I46" s="60"/>
      <c r="J46" s="38">
        <f>F46/G46*8</f>
        <v>0.57999999999999996</v>
      </c>
      <c r="K46" s="365"/>
      <c r="L46" s="199"/>
      <c r="M46" s="199"/>
      <c r="N46" s="199"/>
      <c r="O46" s="117">
        <f>E45*J46</f>
        <v>15.92</v>
      </c>
      <c r="P46" s="114">
        <f t="shared" ref="P46:P47" si="21">O46*0.5</f>
        <v>7.96</v>
      </c>
      <c r="Q46" s="114">
        <f t="shared" si="19"/>
        <v>5.25</v>
      </c>
      <c r="R46" s="114">
        <f t="shared" si="20"/>
        <v>29.13</v>
      </c>
    </row>
    <row r="47" spans="1:18" ht="13.8" thickBot="1" x14ac:dyDescent="0.3">
      <c r="A47" s="41" t="s">
        <v>73</v>
      </c>
      <c r="B47" s="42" t="s">
        <v>40</v>
      </c>
      <c r="C47" s="107">
        <v>37</v>
      </c>
      <c r="D47" s="45"/>
      <c r="E47" s="45"/>
      <c r="F47" s="110">
        <f>F22</f>
        <v>123</v>
      </c>
      <c r="G47" s="45">
        <f>C47*G17</f>
        <v>37</v>
      </c>
      <c r="H47" s="45">
        <f>8/G47</f>
        <v>0.22</v>
      </c>
      <c r="I47" s="61"/>
      <c r="J47" s="46">
        <f>F47/G47*8</f>
        <v>26.594999999999999</v>
      </c>
      <c r="K47" s="366"/>
      <c r="L47" s="200"/>
      <c r="M47" s="200"/>
      <c r="N47" s="200"/>
      <c r="O47" s="118">
        <f>E45*J47</f>
        <v>730.03</v>
      </c>
      <c r="P47" s="114">
        <f t="shared" si="21"/>
        <v>365.02</v>
      </c>
      <c r="Q47" s="114">
        <f t="shared" si="19"/>
        <v>240.91</v>
      </c>
      <c r="R47" s="114">
        <f t="shared" si="20"/>
        <v>1335.96</v>
      </c>
    </row>
    <row r="48" spans="1:18" ht="13.8" thickBot="1" x14ac:dyDescent="0.3">
      <c r="A48" s="47" t="s">
        <v>45</v>
      </c>
      <c r="B48" s="32"/>
      <c r="C48" s="49"/>
      <c r="D48" s="34"/>
      <c r="E48" s="34"/>
      <c r="F48" s="112"/>
      <c r="G48" s="34"/>
      <c r="H48" s="54"/>
      <c r="I48" s="62"/>
      <c r="J48" s="63"/>
      <c r="K48" s="202"/>
      <c r="L48" s="202"/>
      <c r="M48" s="202"/>
      <c r="N48" s="202"/>
      <c r="O48" s="52"/>
      <c r="P48" s="114"/>
      <c r="Q48" s="114"/>
      <c r="R48" s="114"/>
    </row>
    <row r="49" spans="1:18" ht="13.8" thickBot="1" x14ac:dyDescent="0.3">
      <c r="A49" s="39" t="s">
        <v>42</v>
      </c>
      <c r="B49" s="35" t="s">
        <v>40</v>
      </c>
      <c r="C49" s="107">
        <f>C51</f>
        <v>11.6</v>
      </c>
      <c r="D49" s="59">
        <v>3</v>
      </c>
      <c r="E49" s="28">
        <v>27.45</v>
      </c>
      <c r="F49" s="109">
        <f>F37</f>
        <v>0</v>
      </c>
      <c r="G49" s="56">
        <f>C49*0.9</f>
        <v>10.44</v>
      </c>
      <c r="H49" s="38">
        <f>8/G49</f>
        <v>0.76600000000000001</v>
      </c>
      <c r="I49" s="36"/>
      <c r="J49" s="38">
        <f>F49/G49*8</f>
        <v>0</v>
      </c>
      <c r="K49" s="199"/>
      <c r="L49" s="199"/>
      <c r="M49" s="199"/>
      <c r="N49" s="199"/>
      <c r="O49" s="117">
        <f>E49*J49</f>
        <v>0</v>
      </c>
      <c r="P49" s="114">
        <f>O49*0.5</f>
        <v>0</v>
      </c>
      <c r="Q49" s="114">
        <f t="shared" ref="Q49:Q51" si="22">(O49+P49)*0.22</f>
        <v>0</v>
      </c>
      <c r="R49" s="114">
        <f t="shared" ref="R49:R50" si="23">O49+P49+Q49</f>
        <v>0</v>
      </c>
    </row>
    <row r="50" spans="1:18" ht="13.8" thickBot="1" x14ac:dyDescent="0.3">
      <c r="A50" s="39" t="s">
        <v>72</v>
      </c>
      <c r="B50" s="35" t="s">
        <v>40</v>
      </c>
      <c r="C50" s="107">
        <v>14.5</v>
      </c>
      <c r="D50" s="36"/>
      <c r="E50" s="36"/>
      <c r="F50" s="109">
        <f>F38</f>
        <v>0</v>
      </c>
      <c r="G50" s="36">
        <f>C50*0.9</f>
        <v>13.05</v>
      </c>
      <c r="H50" s="38">
        <f>8/G50</f>
        <v>0.61299999999999999</v>
      </c>
      <c r="I50" s="36"/>
      <c r="J50" s="38">
        <f>F50/G50*8</f>
        <v>0</v>
      </c>
      <c r="K50" s="199"/>
      <c r="L50" s="199"/>
      <c r="M50" s="199"/>
      <c r="N50" s="199"/>
      <c r="O50" s="117">
        <f>E49*J50</f>
        <v>0</v>
      </c>
      <c r="P50" s="114">
        <f t="shared" ref="P50:P51" si="24">O50*0.5</f>
        <v>0</v>
      </c>
      <c r="Q50" s="114">
        <f t="shared" si="22"/>
        <v>0</v>
      </c>
      <c r="R50" s="114">
        <f t="shared" si="23"/>
        <v>0</v>
      </c>
    </row>
    <row r="51" spans="1:18" ht="13.8" thickBot="1" x14ac:dyDescent="0.3">
      <c r="A51" s="41" t="s">
        <v>73</v>
      </c>
      <c r="B51" s="42" t="s">
        <v>40</v>
      </c>
      <c r="C51" s="108">
        <v>11.6</v>
      </c>
      <c r="D51" s="45"/>
      <c r="E51" s="45"/>
      <c r="F51" s="110">
        <f>F39</f>
        <v>0</v>
      </c>
      <c r="G51" s="45">
        <f>C51*0.9</f>
        <v>10.44</v>
      </c>
      <c r="H51" s="46">
        <f>8/G51</f>
        <v>0.76600000000000001</v>
      </c>
      <c r="I51" s="45"/>
      <c r="J51" s="46">
        <f>F51/G51*8</f>
        <v>0</v>
      </c>
      <c r="K51" s="200"/>
      <c r="L51" s="200"/>
      <c r="M51" s="200"/>
      <c r="N51" s="200"/>
      <c r="O51" s="118">
        <f>E49*J51</f>
        <v>0</v>
      </c>
      <c r="P51" s="114">
        <f t="shared" si="24"/>
        <v>0</v>
      </c>
      <c r="Q51" s="114">
        <f t="shared" si="22"/>
        <v>0</v>
      </c>
      <c r="R51" s="114">
        <f>O51+P51+Q51</f>
        <v>0</v>
      </c>
    </row>
    <row r="52" spans="1:18" ht="13.8" thickBot="1" x14ac:dyDescent="0.3">
      <c r="A52" s="65" t="s">
        <v>46</v>
      </c>
      <c r="B52" s="66"/>
      <c r="C52" s="66"/>
      <c r="D52" s="28"/>
      <c r="E52" s="28"/>
      <c r="F52" s="113">
        <f>F28+F29+F30+F31+F32+F33+F34+F35+F36+F37+F38+F39</f>
        <v>153</v>
      </c>
      <c r="G52" s="28"/>
      <c r="H52" s="28"/>
      <c r="I52" s="29">
        <f>SUM(I18:I51)</f>
        <v>83.15</v>
      </c>
      <c r="J52" s="121">
        <f>SUM(J18:J51)</f>
        <v>188.12799999999999</v>
      </c>
      <c r="K52" s="206"/>
      <c r="L52" s="114">
        <f t="shared" ref="L52:N52" si="25">SUM(L18:L51)</f>
        <v>0</v>
      </c>
      <c r="M52" s="114">
        <f t="shared" si="25"/>
        <v>0</v>
      </c>
      <c r="N52" s="114">
        <f t="shared" si="25"/>
        <v>0</v>
      </c>
      <c r="O52" s="114">
        <f>SUM(O18:O51)</f>
        <v>5983.37</v>
      </c>
      <c r="P52" s="114">
        <f>O52*0.5</f>
        <v>2991.69</v>
      </c>
      <c r="Q52" s="114">
        <f>SUM(Q18:Q51)</f>
        <v>1974.53</v>
      </c>
      <c r="R52" s="114">
        <f>SUM(R18:R51)</f>
        <v>10949.62</v>
      </c>
    </row>
    <row r="53" spans="1:18" ht="13.8" thickBot="1" x14ac:dyDescent="0.3">
      <c r="A53" s="67" t="s">
        <v>47</v>
      </c>
      <c r="B53" s="68"/>
      <c r="C53" s="68"/>
      <c r="D53" s="69"/>
      <c r="E53" s="69"/>
      <c r="F53" s="69"/>
      <c r="G53" s="69"/>
      <c r="H53" s="69"/>
      <c r="I53" s="69"/>
      <c r="J53" s="69"/>
      <c r="K53" s="203"/>
      <c r="L53" s="203">
        <v>23.33</v>
      </c>
      <c r="M53" s="203">
        <v>26</v>
      </c>
      <c r="N53" s="203">
        <v>100</v>
      </c>
      <c r="O53" s="119"/>
      <c r="P53" s="114"/>
      <c r="Q53" s="119"/>
      <c r="R53" s="119"/>
    </row>
    <row r="54" spans="1:18" ht="13.8" thickBot="1" x14ac:dyDescent="0.3">
      <c r="A54" s="70" t="s">
        <v>48</v>
      </c>
      <c r="B54" s="40"/>
      <c r="C54" s="40"/>
      <c r="D54" s="125"/>
      <c r="E54" s="125"/>
      <c r="F54" s="125"/>
      <c r="G54" s="125"/>
      <c r="H54" s="125"/>
      <c r="I54" s="125"/>
      <c r="J54" s="125"/>
      <c r="K54" s="160"/>
      <c r="L54" s="36">
        <f>L52*L53</f>
        <v>0</v>
      </c>
      <c r="M54" s="36">
        <f t="shared" ref="M54:N54" si="26">M52*M53</f>
        <v>0</v>
      </c>
      <c r="N54" s="36">
        <f t="shared" si="26"/>
        <v>0</v>
      </c>
      <c r="O54" s="106"/>
      <c r="P54" s="114"/>
      <c r="Q54" s="106"/>
      <c r="R54" s="106">
        <f>L54+M54+N54</f>
        <v>0</v>
      </c>
    </row>
    <row r="55" spans="1:18" x14ac:dyDescent="0.25">
      <c r="A55" s="71" t="s">
        <v>49</v>
      </c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106">
        <f>O52+O54</f>
        <v>5983.37</v>
      </c>
      <c r="P55" s="106">
        <f>P52+P54</f>
        <v>2991.69</v>
      </c>
      <c r="Q55" s="106">
        <f>Q52+Q54</f>
        <v>1974.53</v>
      </c>
      <c r="R55" s="106">
        <f>R52+R54</f>
        <v>10949.62</v>
      </c>
    </row>
    <row r="56" spans="1:18" ht="13.8" thickBot="1" x14ac:dyDescent="0.3">
      <c r="A56" s="74"/>
      <c r="B56" s="72"/>
      <c r="C56" s="72"/>
      <c r="D56" s="75"/>
      <c r="E56" s="75"/>
      <c r="F56" s="76"/>
      <c r="G56" s="75"/>
      <c r="H56" s="75"/>
      <c r="I56" s="75"/>
      <c r="J56" s="77"/>
      <c r="K56" s="77"/>
      <c r="L56" s="77"/>
      <c r="M56" s="77"/>
      <c r="N56" s="77"/>
      <c r="O56" s="75"/>
      <c r="P56" s="75"/>
      <c r="Q56" s="75"/>
      <c r="R56" s="75"/>
    </row>
    <row r="57" spans="1:18" ht="30" customHeight="1" x14ac:dyDescent="0.25">
      <c r="A57" s="78"/>
      <c r="B57" s="2"/>
      <c r="C57" s="2"/>
      <c r="D57" s="224" t="s">
        <v>50</v>
      </c>
      <c r="E57" s="225"/>
      <c r="F57" s="226" t="s">
        <v>51</v>
      </c>
      <c r="G57" s="227"/>
      <c r="H57" s="226" t="s">
        <v>52</v>
      </c>
      <c r="I57" s="228"/>
      <c r="J57" s="229"/>
      <c r="K57" s="94"/>
      <c r="L57" s="94"/>
      <c r="M57" s="94"/>
      <c r="N57" s="94"/>
      <c r="O57" s="75"/>
      <c r="P57" s="75"/>
      <c r="Q57" s="75"/>
      <c r="R57" s="75"/>
    </row>
    <row r="58" spans="1:18" ht="15.6" x14ac:dyDescent="0.3">
      <c r="A58" s="79" t="s">
        <v>53</v>
      </c>
      <c r="B58" s="80">
        <f>F52</f>
        <v>153</v>
      </c>
      <c r="C58" s="2"/>
      <c r="D58" s="238">
        <f>(R52)/B58</f>
        <v>71.566000000000003</v>
      </c>
      <c r="E58" s="239"/>
      <c r="F58" s="240">
        <f>(O55/B58)*1.215</f>
        <v>47.515000000000001</v>
      </c>
      <c r="G58" s="239"/>
      <c r="H58" s="241">
        <f>D58-F58</f>
        <v>24.050999999999998</v>
      </c>
      <c r="I58" s="242"/>
      <c r="J58" s="243"/>
      <c r="K58" s="204"/>
      <c r="L58" s="204"/>
      <c r="M58" s="204"/>
      <c r="N58" s="204"/>
      <c r="O58" s="75"/>
      <c r="P58" s="75"/>
      <c r="Q58" s="75"/>
      <c r="R58" s="75"/>
    </row>
    <row r="59" spans="1:18" ht="15.6" x14ac:dyDescent="0.3">
      <c r="A59" s="81"/>
      <c r="B59" s="2"/>
      <c r="C59" s="2"/>
      <c r="D59" s="238"/>
      <c r="E59" s="239"/>
      <c r="F59" s="240"/>
      <c r="G59" s="239"/>
      <c r="H59" s="241"/>
      <c r="I59" s="242"/>
      <c r="J59" s="243"/>
      <c r="K59" s="204"/>
      <c r="L59" s="204"/>
      <c r="M59" s="204"/>
      <c r="N59" s="204"/>
      <c r="O59" s="75"/>
      <c r="P59" s="75"/>
      <c r="Q59" s="75"/>
      <c r="R59" s="75"/>
    </row>
    <row r="60" spans="1:18" ht="15.6" x14ac:dyDescent="0.3">
      <c r="A60" s="81"/>
      <c r="B60" s="2"/>
      <c r="C60" s="72"/>
      <c r="D60" s="238"/>
      <c r="E60" s="239"/>
      <c r="F60" s="240"/>
      <c r="G60" s="239"/>
      <c r="H60" s="241"/>
      <c r="I60" s="242"/>
      <c r="J60" s="243"/>
      <c r="K60" s="204"/>
      <c r="L60" s="204"/>
      <c r="M60" s="204"/>
      <c r="N60" s="204"/>
      <c r="O60" s="75"/>
      <c r="P60" s="75"/>
      <c r="Q60" s="75"/>
      <c r="R60" s="75"/>
    </row>
    <row r="61" spans="1:18" ht="15.6" x14ac:dyDescent="0.3">
      <c r="A61" s="82"/>
      <c r="B61" s="72"/>
      <c r="C61" s="72"/>
      <c r="D61" s="83"/>
      <c r="E61" s="84"/>
      <c r="F61" s="84"/>
      <c r="G61" s="85"/>
      <c r="H61" s="75"/>
      <c r="I61" s="75"/>
      <c r="J61" s="73"/>
      <c r="K61" s="73"/>
      <c r="L61" s="73"/>
      <c r="M61" s="73"/>
      <c r="N61" s="73"/>
      <c r="O61" s="86"/>
      <c r="P61" s="86"/>
      <c r="Q61" s="87"/>
      <c r="R61" s="75"/>
    </row>
    <row r="62" spans="1:18" x14ac:dyDescent="0.25">
      <c r="A62" s="88"/>
      <c r="B62" s="89"/>
      <c r="C62" s="89"/>
      <c r="D62" s="90"/>
      <c r="E62" s="90"/>
      <c r="F62" s="72"/>
      <c r="H62" s="91"/>
      <c r="I62" s="85"/>
      <c r="J62" s="91"/>
      <c r="K62" s="91"/>
      <c r="L62" s="91"/>
      <c r="M62" s="91"/>
      <c r="N62" s="91"/>
      <c r="O62" s="92"/>
    </row>
    <row r="63" spans="1:18" x14ac:dyDescent="0.25">
      <c r="A63" s="82"/>
      <c r="B63" s="72"/>
      <c r="C63" s="72"/>
      <c r="D63" s="126"/>
      <c r="E63" s="126"/>
      <c r="F63" s="94"/>
      <c r="G63" s="94"/>
      <c r="H63" s="94"/>
      <c r="I63" s="94"/>
      <c r="J63" s="94"/>
      <c r="K63" s="94"/>
      <c r="L63" s="94"/>
      <c r="M63" s="94"/>
      <c r="N63" s="94"/>
      <c r="O63" s="95"/>
      <c r="P63" s="75"/>
      <c r="Q63" s="75"/>
      <c r="R63" s="75"/>
    </row>
    <row r="64" spans="1:18" x14ac:dyDescent="0.25">
      <c r="A64" s="72"/>
      <c r="B64" s="73"/>
      <c r="C64" s="72"/>
      <c r="D64" s="85"/>
      <c r="E64" s="85"/>
      <c r="F64" s="85"/>
      <c r="G64" s="85"/>
      <c r="H64" s="2"/>
      <c r="I64" s="2"/>
      <c r="J64" s="75"/>
      <c r="K64" s="75"/>
      <c r="L64" s="75"/>
      <c r="M64" s="75"/>
      <c r="N64" s="75"/>
      <c r="O64" s="75"/>
      <c r="P64" s="75"/>
      <c r="Q64" s="75"/>
      <c r="R64" s="75"/>
    </row>
    <row r="65" spans="1:18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2"/>
      <c r="P65" s="2"/>
      <c r="Q65" s="2"/>
      <c r="R65" s="2"/>
    </row>
  </sheetData>
  <mergeCells count="51">
    <mergeCell ref="B4:F4"/>
    <mergeCell ref="P6:R6"/>
    <mergeCell ref="G4:H4"/>
    <mergeCell ref="I4:J4"/>
    <mergeCell ref="B3:F3"/>
    <mergeCell ref="G3:H3"/>
    <mergeCell ref="B5:F5"/>
    <mergeCell ref="G5:H5"/>
    <mergeCell ref="I5:J5"/>
    <mergeCell ref="B6:F6"/>
    <mergeCell ref="G6:H6"/>
    <mergeCell ref="I6:J6"/>
    <mergeCell ref="P2:R2"/>
    <mergeCell ref="I3:J3"/>
    <mergeCell ref="P3:R3"/>
    <mergeCell ref="A1:F1"/>
    <mergeCell ref="G1:O1"/>
    <mergeCell ref="B2:F2"/>
    <mergeCell ref="G2:H2"/>
    <mergeCell ref="I2:J2"/>
    <mergeCell ref="B11:F11"/>
    <mergeCell ref="G11:H11"/>
    <mergeCell ref="I11:J11"/>
    <mergeCell ref="B7:F7"/>
    <mergeCell ref="G7:H7"/>
    <mergeCell ref="I7:J7"/>
    <mergeCell ref="B8:F8"/>
    <mergeCell ref="G8:H8"/>
    <mergeCell ref="I8:J8"/>
    <mergeCell ref="B9:F9"/>
    <mergeCell ref="G9:H9"/>
    <mergeCell ref="I9:J9"/>
    <mergeCell ref="B10:F10"/>
    <mergeCell ref="G10:H10"/>
    <mergeCell ref="I10:J10"/>
    <mergeCell ref="H59:J59"/>
    <mergeCell ref="H60:J60"/>
    <mergeCell ref="B12:F12"/>
    <mergeCell ref="G12:H12"/>
    <mergeCell ref="I12:J12"/>
    <mergeCell ref="G13:H13"/>
    <mergeCell ref="H57:J57"/>
    <mergeCell ref="H58:J58"/>
    <mergeCell ref="D60:E60"/>
    <mergeCell ref="F60:G60"/>
    <mergeCell ref="D58:E58"/>
    <mergeCell ref="F58:G58"/>
    <mergeCell ref="D59:E59"/>
    <mergeCell ref="F59:G59"/>
    <mergeCell ref="D57:E57"/>
    <mergeCell ref="F57:G57"/>
  </mergeCells>
  <dataValidations count="4">
    <dataValidation type="list" allowBlank="1" showInputMessage="1" showErrorMessage="1" sqref="A2">
      <formula1>ЛісВа</formula1>
    </dataValidation>
    <dataValidation type="list" allowBlank="1" showInputMessage="1" showErrorMessage="1" sqref="B6">
      <formula1>ВідШаблона</formula1>
    </dataValidation>
    <dataValidation type="list" allowBlank="1" showInputMessage="1" showErrorMessage="1" sqref="G5:G7">
      <formula1>Зона</formula1>
    </dataValidation>
    <dataValidation type="list" allowBlank="1" showInputMessage="1" showErrorMessage="1" sqref="B7:B12">
      <formula1>табУмовиРоботи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workbookViewId="0">
      <selection activeCell="C15" sqref="C15:G15"/>
    </sheetView>
  </sheetViews>
  <sheetFormatPr defaultRowHeight="14.4" x14ac:dyDescent="0.3"/>
  <cols>
    <col min="2" max="2" width="8.88671875" customWidth="1"/>
    <col min="4" max="6" width="8.88671875" customWidth="1"/>
    <col min="7" max="7" width="9.44140625" customWidth="1"/>
    <col min="8" max="8" width="11.88671875" customWidth="1"/>
    <col min="9" max="9" width="11" customWidth="1"/>
    <col min="10" max="10" width="14.109375" customWidth="1"/>
    <col min="11" max="11" width="13.44140625" customWidth="1"/>
    <col min="13" max="13" width="17" customWidth="1"/>
    <col min="14" max="14" width="10.44140625" bestFit="1" customWidth="1"/>
  </cols>
  <sheetData>
    <row r="1" spans="1:30" x14ac:dyDescent="0.3">
      <c r="A1" s="186" t="s">
        <v>168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</row>
    <row r="2" spans="1:30" x14ac:dyDescent="0.3">
      <c r="A2" s="186" t="s">
        <v>169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</row>
    <row r="4" spans="1:30" ht="25.2" customHeight="1" x14ac:dyDescent="0.3">
      <c r="A4" s="161" t="s">
        <v>118</v>
      </c>
      <c r="B4" s="161"/>
      <c r="C4" s="294" t="s">
        <v>119</v>
      </c>
      <c r="D4" s="294"/>
      <c r="E4" s="294"/>
      <c r="F4" s="294"/>
      <c r="G4" s="294"/>
      <c r="H4" s="161" t="s">
        <v>120</v>
      </c>
      <c r="I4" s="161" t="s">
        <v>121</v>
      </c>
      <c r="J4" s="161" t="s">
        <v>122</v>
      </c>
      <c r="K4" s="161" t="s">
        <v>123</v>
      </c>
      <c r="M4" s="168" t="s">
        <v>157</v>
      </c>
      <c r="N4" s="168" t="s">
        <v>158</v>
      </c>
    </row>
    <row r="5" spans="1:30" x14ac:dyDescent="0.3">
      <c r="A5" s="169" t="s">
        <v>124</v>
      </c>
      <c r="B5" s="169"/>
      <c r="C5" s="295" t="s">
        <v>135</v>
      </c>
      <c r="D5" s="295"/>
      <c r="E5" s="295"/>
      <c r="F5" s="295"/>
      <c r="G5" s="295"/>
      <c r="H5" s="296"/>
      <c r="I5" s="296"/>
      <c r="J5" s="296"/>
      <c r="K5" s="169"/>
      <c r="M5" s="173"/>
      <c r="N5" s="173"/>
    </row>
    <row r="6" spans="1:30" ht="22.8" customHeight="1" x14ac:dyDescent="0.3">
      <c r="A6" s="189" t="s">
        <v>177</v>
      </c>
      <c r="B6" s="170"/>
      <c r="C6" s="296" t="s">
        <v>137</v>
      </c>
      <c r="D6" s="296"/>
      <c r="E6" s="296"/>
      <c r="F6" s="296"/>
      <c r="G6" s="296"/>
      <c r="H6" s="170" t="s">
        <v>40</v>
      </c>
      <c r="I6" s="169">
        <f>РД!F20+РД!F21+РД!F22</f>
        <v>153</v>
      </c>
      <c r="J6" s="171">
        <f t="shared" ref="J6:J10" si="0">M6</f>
        <v>8.98</v>
      </c>
      <c r="K6" s="169">
        <f t="shared" ref="K6:K11" si="1">I6*J6</f>
        <v>1373.94</v>
      </c>
      <c r="M6" s="173">
        <f>N6/I6</f>
        <v>8.98</v>
      </c>
      <c r="N6" s="173">
        <f>(РД!O20+РД!O21+РД!O22)*1.215</f>
        <v>1374.27</v>
      </c>
    </row>
    <row r="7" spans="1:30" ht="30" customHeight="1" x14ac:dyDescent="0.3">
      <c r="A7" s="189" t="s">
        <v>178</v>
      </c>
      <c r="B7" s="170"/>
      <c r="C7" s="296" t="s">
        <v>139</v>
      </c>
      <c r="D7" s="296"/>
      <c r="E7" s="296"/>
      <c r="F7" s="296"/>
      <c r="G7" s="296"/>
      <c r="H7" s="170" t="s">
        <v>40</v>
      </c>
      <c r="I7" s="169">
        <f>РД!F24+РД!F25+РД!F26</f>
        <v>153</v>
      </c>
      <c r="J7" s="171">
        <f t="shared" si="0"/>
        <v>10.09</v>
      </c>
      <c r="K7" s="169">
        <f t="shared" si="1"/>
        <v>1543.77</v>
      </c>
      <c r="M7" s="173">
        <f t="shared" ref="M7:M11" si="2">N7/I7</f>
        <v>10.09</v>
      </c>
      <c r="N7" s="173">
        <f>(РД!O24+РД!O25+РД!O26)*1.215</f>
        <v>1543.37</v>
      </c>
    </row>
    <row r="8" spans="1:30" ht="31.8" customHeight="1" x14ac:dyDescent="0.3">
      <c r="A8" s="189" t="s">
        <v>182</v>
      </c>
      <c r="B8" s="170"/>
      <c r="C8" s="296" t="s">
        <v>170</v>
      </c>
      <c r="D8" s="296"/>
      <c r="E8" s="296"/>
      <c r="F8" s="296"/>
      <c r="G8" s="296"/>
      <c r="H8" s="170" t="s">
        <v>40</v>
      </c>
      <c r="I8" s="169">
        <f>РД!F45+РД!F46+РД!F47</f>
        <v>153</v>
      </c>
      <c r="J8" s="171">
        <f t="shared" si="0"/>
        <v>7.32</v>
      </c>
      <c r="K8" s="169">
        <f t="shared" si="1"/>
        <v>1119.96</v>
      </c>
      <c r="M8" s="173">
        <f t="shared" si="2"/>
        <v>7.32</v>
      </c>
      <c r="N8" s="173">
        <f>(РД!O45+РД!O46+РД!O47)*1.215</f>
        <v>1119.3800000000001</v>
      </c>
    </row>
    <row r="9" spans="1:30" ht="28.2" customHeight="1" x14ac:dyDescent="0.3">
      <c r="A9" s="189" t="s">
        <v>179</v>
      </c>
      <c r="B9" s="170"/>
      <c r="C9" s="296" t="s">
        <v>143</v>
      </c>
      <c r="D9" s="296"/>
      <c r="E9" s="296"/>
      <c r="F9" s="296"/>
      <c r="G9" s="296"/>
      <c r="H9" s="170" t="s">
        <v>40</v>
      </c>
      <c r="I9" s="169">
        <f>РД!F28+РД!F29+РД!F30+РД!F31+РД!F32+РД!F33+РД!F34+РД!F35+РД!F36+РД!F37+РД!F38+РД!F39</f>
        <v>153</v>
      </c>
      <c r="J9" s="171">
        <f t="shared" si="0"/>
        <v>14.72</v>
      </c>
      <c r="K9" s="169">
        <f t="shared" si="1"/>
        <v>2252.16</v>
      </c>
      <c r="M9" s="173">
        <f t="shared" si="2"/>
        <v>14.72</v>
      </c>
      <c r="N9" s="173">
        <f>(РД!O28+РД!O29+РД!O30+РД!O31+РД!O32+РД!O33+РД!O34+РД!O35+РД!O36+РД!O37+РД!O38+РД!O39)*1.215</f>
        <v>2251.4699999999998</v>
      </c>
    </row>
    <row r="10" spans="1:30" ht="22.2" customHeight="1" x14ac:dyDescent="0.3">
      <c r="A10" s="189" t="s">
        <v>180</v>
      </c>
      <c r="B10" s="170"/>
      <c r="C10" s="296" t="s">
        <v>145</v>
      </c>
      <c r="D10" s="296"/>
      <c r="E10" s="296"/>
      <c r="F10" s="296"/>
      <c r="G10" s="296"/>
      <c r="H10" s="170" t="s">
        <v>40</v>
      </c>
      <c r="I10" s="169">
        <f>РД!F41+РД!F42+РД!F43</f>
        <v>153</v>
      </c>
      <c r="J10" s="171">
        <f t="shared" si="0"/>
        <v>6.41</v>
      </c>
      <c r="K10" s="169">
        <f t="shared" si="1"/>
        <v>980.73</v>
      </c>
      <c r="M10" s="173">
        <f t="shared" si="2"/>
        <v>6.41</v>
      </c>
      <c r="N10" s="173">
        <f>(РД!O41+РД!O42+РД!O43)*1.215</f>
        <v>981.31</v>
      </c>
    </row>
    <row r="11" spans="1:30" ht="19.2" customHeight="1" x14ac:dyDescent="0.3">
      <c r="A11" s="189" t="s">
        <v>181</v>
      </c>
      <c r="B11" s="170"/>
      <c r="C11" s="296" t="s">
        <v>147</v>
      </c>
      <c r="D11" s="296"/>
      <c r="E11" s="296"/>
      <c r="F11" s="296"/>
      <c r="G11" s="296"/>
      <c r="H11" s="170" t="s">
        <v>40</v>
      </c>
      <c r="I11" s="169">
        <f>РД!F49+РД!F50+РД!F51</f>
        <v>0</v>
      </c>
      <c r="J11" s="171"/>
      <c r="K11" s="169">
        <f t="shared" si="1"/>
        <v>0</v>
      </c>
      <c r="M11" s="173" t="e">
        <f t="shared" si="2"/>
        <v>#DIV/0!</v>
      </c>
      <c r="N11" s="173">
        <f>(РД!O49+РД!O50+РД!O51)*1.215</f>
        <v>0</v>
      </c>
    </row>
    <row r="12" spans="1:30" x14ac:dyDescent="0.3">
      <c r="A12" s="297" t="s">
        <v>185</v>
      </c>
      <c r="B12" s="297"/>
      <c r="C12" s="298"/>
      <c r="D12" s="298"/>
      <c r="E12" s="298"/>
      <c r="F12" s="298"/>
      <c r="G12" s="298"/>
      <c r="H12" s="298"/>
      <c r="I12" s="298"/>
      <c r="J12" s="172">
        <f>K12/I6</f>
        <v>47.52</v>
      </c>
      <c r="K12" s="172">
        <f>K6+K7+K8+K9+K10+K11</f>
        <v>7270.56</v>
      </c>
      <c r="N12" t="e">
        <f>#REF!+#REF!+#REF!+#REF!+N6+N7+N8+N9+N10+N11</f>
        <v>#REF!</v>
      </c>
    </row>
    <row r="13" spans="1:30" x14ac:dyDescent="0.3">
      <c r="A13" s="297" t="s">
        <v>149</v>
      </c>
      <c r="B13" s="297"/>
      <c r="C13" s="298"/>
      <c r="D13" s="298"/>
      <c r="E13" s="298"/>
      <c r="F13" s="298"/>
      <c r="G13" s="298"/>
      <c r="H13" s="298"/>
      <c r="I13" s="298"/>
      <c r="J13" s="172"/>
      <c r="K13" s="172">
        <v>0</v>
      </c>
      <c r="N13">
        <f>РД!O55*1.215</f>
        <v>7269.7945499999996</v>
      </c>
    </row>
    <row r="14" spans="1:30" x14ac:dyDescent="0.3">
      <c r="A14" s="297" t="s">
        <v>186</v>
      </c>
      <c r="B14" s="297"/>
      <c r="C14" s="298"/>
      <c r="D14" s="298"/>
      <c r="E14" s="298"/>
      <c r="F14" s="298"/>
      <c r="G14" s="298"/>
      <c r="H14" s="298"/>
      <c r="I14" s="298"/>
      <c r="J14" s="172"/>
      <c r="K14" s="172">
        <f>K12+K13</f>
        <v>7270.56</v>
      </c>
    </row>
    <row r="15" spans="1:30" ht="25.8" customHeight="1" x14ac:dyDescent="0.3">
      <c r="A15" s="190" t="s">
        <v>134</v>
      </c>
      <c r="B15" s="166"/>
      <c r="C15" s="301" t="s">
        <v>152</v>
      </c>
      <c r="D15" s="301"/>
      <c r="E15" s="301"/>
      <c r="F15" s="301"/>
      <c r="G15" s="301"/>
      <c r="H15" s="163"/>
      <c r="I15" s="166"/>
      <c r="J15" s="165"/>
      <c r="K15" s="162" t="s">
        <v>159</v>
      </c>
    </row>
    <row r="16" spans="1:30" x14ac:dyDescent="0.3">
      <c r="A16" s="299" t="s">
        <v>153</v>
      </c>
      <c r="B16" s="299"/>
      <c r="C16" s="300"/>
      <c r="D16" s="300"/>
      <c r="E16" s="300"/>
      <c r="F16" s="300"/>
      <c r="G16" s="300"/>
      <c r="H16" s="300"/>
      <c r="I16" s="300"/>
      <c r="J16" s="167"/>
      <c r="K16" s="167" t="s">
        <v>159</v>
      </c>
    </row>
    <row r="17" spans="1:11" x14ac:dyDescent="0.3">
      <c r="A17" s="299" t="s">
        <v>149</v>
      </c>
      <c r="B17" s="299"/>
      <c r="C17" s="300"/>
      <c r="D17" s="300"/>
      <c r="E17" s="300"/>
      <c r="F17" s="300"/>
      <c r="G17" s="300"/>
      <c r="H17" s="300"/>
      <c r="I17" s="300"/>
      <c r="J17" s="167"/>
      <c r="K17" s="167" t="s">
        <v>159</v>
      </c>
    </row>
    <row r="18" spans="1:11" x14ac:dyDescent="0.3">
      <c r="A18" s="299" t="s">
        <v>154</v>
      </c>
      <c r="B18" s="299"/>
      <c r="C18" s="300"/>
      <c r="D18" s="300"/>
      <c r="E18" s="300"/>
      <c r="F18" s="300"/>
      <c r="G18" s="300"/>
      <c r="H18" s="300"/>
      <c r="I18" s="300"/>
      <c r="J18" s="167"/>
      <c r="K18" s="167" t="s">
        <v>159</v>
      </c>
    </row>
    <row r="21" spans="1:11" ht="15.6" x14ac:dyDescent="0.3">
      <c r="A21" s="273" t="s">
        <v>160</v>
      </c>
      <c r="B21" s="273"/>
      <c r="C21" s="273"/>
      <c r="D21" s="273"/>
      <c r="E21" s="273"/>
      <c r="F21" s="273"/>
      <c r="G21" s="273"/>
      <c r="H21" s="273"/>
      <c r="I21" s="273"/>
    </row>
    <row r="22" spans="1:11" x14ac:dyDescent="0.3">
      <c r="A22" s="274" t="s">
        <v>161</v>
      </c>
      <c r="B22" s="274"/>
      <c r="C22" s="274"/>
      <c r="D22" s="274"/>
      <c r="E22" s="274"/>
      <c r="F22" s="274"/>
      <c r="G22" s="274"/>
      <c r="H22" s="274"/>
      <c r="I22" s="274"/>
    </row>
    <row r="23" spans="1:11" x14ac:dyDescent="0.3">
      <c r="A23" s="277"/>
      <c r="B23" s="277"/>
      <c r="C23" s="277"/>
      <c r="D23" s="277"/>
      <c r="E23" s="277"/>
      <c r="F23" s="277"/>
      <c r="G23" s="277"/>
      <c r="H23" s="277"/>
      <c r="I23" s="277"/>
    </row>
    <row r="24" spans="1:11" x14ac:dyDescent="0.3">
      <c r="A24" s="277" t="s">
        <v>54</v>
      </c>
      <c r="B24" s="276"/>
      <c r="C24" s="276"/>
      <c r="D24" s="276"/>
      <c r="E24" s="276"/>
      <c r="F24" s="278"/>
      <c r="G24" s="278"/>
      <c r="H24" s="278"/>
      <c r="I24" s="278"/>
    </row>
    <row r="25" spans="1:11" x14ac:dyDescent="0.3">
      <c r="A25" s="277" t="s">
        <v>162</v>
      </c>
      <c r="B25" s="277"/>
      <c r="C25" s="277"/>
      <c r="D25" s="278">
        <f>+[5]кошторис!D26</f>
        <v>0</v>
      </c>
      <c r="E25" s="278"/>
      <c r="F25" s="279"/>
      <c r="G25" s="279"/>
      <c r="H25" s="176"/>
      <c r="I25" s="175"/>
    </row>
    <row r="26" spans="1:11" x14ac:dyDescent="0.3">
      <c r="A26" s="277" t="s">
        <v>163</v>
      </c>
      <c r="B26" s="277"/>
      <c r="C26" s="277"/>
      <c r="D26" s="277"/>
      <c r="E26" s="277"/>
      <c r="F26" s="176"/>
      <c r="G26" s="175"/>
      <c r="H26" s="175"/>
      <c r="I26" s="174"/>
    </row>
    <row r="27" spans="1:11" x14ac:dyDescent="0.3">
      <c r="A27" s="277"/>
      <c r="B27" s="277"/>
      <c r="C27" s="277"/>
      <c r="D27" s="277"/>
      <c r="E27" s="277"/>
      <c r="F27" s="277"/>
      <c r="G27" s="277"/>
      <c r="H27" s="277"/>
      <c r="I27" s="277"/>
    </row>
    <row r="28" spans="1:11" ht="39.6" x14ac:dyDescent="0.3">
      <c r="A28" s="280" t="s">
        <v>118</v>
      </c>
      <c r="B28" s="280"/>
      <c r="C28" s="280" t="s">
        <v>164</v>
      </c>
      <c r="D28" s="280"/>
      <c r="E28" s="280"/>
      <c r="F28" s="177" t="s">
        <v>120</v>
      </c>
      <c r="G28" s="177" t="s">
        <v>121</v>
      </c>
      <c r="H28" s="177" t="s">
        <v>122</v>
      </c>
      <c r="I28" s="177" t="s">
        <v>123</v>
      </c>
    </row>
    <row r="29" spans="1:11" x14ac:dyDescent="0.3">
      <c r="A29" s="284" t="s">
        <v>124</v>
      </c>
      <c r="B29" s="285"/>
      <c r="C29" s="286" t="s">
        <v>135</v>
      </c>
      <c r="D29" s="286"/>
      <c r="E29" s="286"/>
      <c r="F29" s="180" t="s">
        <v>40</v>
      </c>
      <c r="G29" s="188">
        <f>I6</f>
        <v>153</v>
      </c>
      <c r="H29" s="187">
        <f>I29/G29</f>
        <v>47.52</v>
      </c>
      <c r="I29" s="178">
        <f>K14</f>
        <v>7270.56</v>
      </c>
    </row>
    <row r="30" spans="1:11" x14ac:dyDescent="0.3">
      <c r="A30" s="282" t="s">
        <v>171</v>
      </c>
      <c r="B30" s="283"/>
      <c r="C30" s="283"/>
      <c r="D30" s="283"/>
      <c r="E30" s="283"/>
      <c r="F30" s="283"/>
      <c r="G30" s="283"/>
      <c r="H30" s="179"/>
      <c r="I30" s="179"/>
    </row>
    <row r="31" spans="1:11" x14ac:dyDescent="0.3">
      <c r="A31" s="282" t="s">
        <v>149</v>
      </c>
      <c r="B31" s="283"/>
      <c r="C31" s="283"/>
      <c r="D31" s="283"/>
      <c r="E31" s="283"/>
      <c r="F31" s="283"/>
      <c r="G31" s="283"/>
      <c r="H31" s="179"/>
      <c r="I31" s="179"/>
    </row>
    <row r="32" spans="1:11" x14ac:dyDescent="0.3">
      <c r="A32" s="282" t="s">
        <v>172</v>
      </c>
      <c r="B32" s="283"/>
      <c r="C32" s="283"/>
      <c r="D32" s="283"/>
      <c r="E32" s="283"/>
      <c r="F32" s="283"/>
      <c r="G32" s="283"/>
      <c r="H32" s="179">
        <f>+H31+H30</f>
        <v>0</v>
      </c>
      <c r="I32" s="179">
        <f>+I31+I30</f>
        <v>0</v>
      </c>
    </row>
    <row r="33" spans="1:9" ht="31.2" customHeight="1" x14ac:dyDescent="0.3">
      <c r="A33" s="284" t="s">
        <v>151</v>
      </c>
      <c r="B33" s="285"/>
      <c r="C33" s="286" t="s">
        <v>173</v>
      </c>
      <c r="D33" s="286"/>
      <c r="E33" s="286"/>
      <c r="F33" s="180" t="s">
        <v>40</v>
      </c>
      <c r="G33" s="180"/>
      <c r="H33" s="178">
        <f>+[5]кошторис!V46</f>
        <v>0</v>
      </c>
      <c r="I33" s="178">
        <f>+[5]кошторис!Z46</f>
        <v>0</v>
      </c>
    </row>
    <row r="34" spans="1:9" x14ac:dyDescent="0.3">
      <c r="A34" s="282" t="s">
        <v>153</v>
      </c>
      <c r="B34" s="283"/>
      <c r="C34" s="283"/>
      <c r="D34" s="283"/>
      <c r="E34" s="283"/>
      <c r="F34" s="283"/>
      <c r="G34" s="283"/>
      <c r="H34" s="179"/>
      <c r="I34" s="179">
        <f>+I33</f>
        <v>0</v>
      </c>
    </row>
    <row r="35" spans="1:9" x14ac:dyDescent="0.3">
      <c r="A35" s="282" t="s">
        <v>149</v>
      </c>
      <c r="B35" s="283"/>
      <c r="C35" s="283"/>
      <c r="D35" s="283"/>
      <c r="E35" s="283"/>
      <c r="F35" s="283"/>
      <c r="G35" s="283"/>
      <c r="H35" s="179"/>
      <c r="I35" s="179"/>
    </row>
    <row r="36" spans="1:9" x14ac:dyDescent="0.3">
      <c r="A36" s="282" t="s">
        <v>154</v>
      </c>
      <c r="B36" s="283"/>
      <c r="C36" s="283"/>
      <c r="D36" s="283"/>
      <c r="E36" s="283"/>
      <c r="F36" s="283"/>
      <c r="G36" s="283"/>
      <c r="H36" s="179">
        <f>+H35+H34</f>
        <v>0</v>
      </c>
      <c r="I36" s="179">
        <f>+I35+I34</f>
        <v>0</v>
      </c>
    </row>
    <row r="39" spans="1:9" ht="15.6" x14ac:dyDescent="0.3">
      <c r="A39" s="273" t="s">
        <v>165</v>
      </c>
      <c r="B39" s="273"/>
      <c r="C39" s="273"/>
      <c r="D39" s="273"/>
      <c r="E39" s="273"/>
      <c r="F39" s="273"/>
      <c r="G39" s="273"/>
      <c r="H39" s="273"/>
      <c r="I39" s="273"/>
    </row>
    <row r="40" spans="1:9" x14ac:dyDescent="0.3">
      <c r="A40" s="274"/>
      <c r="B40" s="274"/>
      <c r="C40" s="274"/>
      <c r="D40" s="274"/>
      <c r="E40" s="274"/>
      <c r="F40" s="274"/>
      <c r="G40" s="274"/>
      <c r="H40" s="274"/>
      <c r="I40" s="274"/>
    </row>
    <row r="41" spans="1:9" x14ac:dyDescent="0.3">
      <c r="A41" s="275" t="s">
        <v>166</v>
      </c>
      <c r="B41" s="276"/>
      <c r="C41" s="276"/>
      <c r="D41" s="276"/>
      <c r="E41" s="276"/>
      <c r="F41" s="276"/>
      <c r="G41" s="276"/>
      <c r="H41" s="276"/>
      <c r="I41" s="276"/>
    </row>
    <row r="42" spans="1:9" x14ac:dyDescent="0.3">
      <c r="A42" s="269" t="s">
        <v>124</v>
      </c>
      <c r="B42" s="270"/>
      <c r="C42" s="271" t="s">
        <v>135</v>
      </c>
      <c r="D42" s="271"/>
      <c r="E42" s="271"/>
      <c r="F42" s="271"/>
      <c r="G42" s="271"/>
      <c r="H42" s="272"/>
      <c r="I42" s="272"/>
    </row>
    <row r="43" spans="1:9" x14ac:dyDescent="0.3">
      <c r="A43" s="306" t="s">
        <v>177</v>
      </c>
      <c r="B43" s="307"/>
      <c r="C43" s="268" t="s">
        <v>137</v>
      </c>
      <c r="D43" s="268"/>
      <c r="E43" s="268"/>
      <c r="F43" s="268"/>
      <c r="G43" s="268"/>
      <c r="H43" s="181" t="s">
        <v>40</v>
      </c>
      <c r="I43" s="183">
        <f t="shared" ref="I43:I48" si="3">I6</f>
        <v>153</v>
      </c>
    </row>
    <row r="44" spans="1:9" x14ac:dyDescent="0.3">
      <c r="A44" s="306" t="s">
        <v>178</v>
      </c>
      <c r="B44" s="307"/>
      <c r="C44" s="268" t="s">
        <v>139</v>
      </c>
      <c r="D44" s="268"/>
      <c r="E44" s="268"/>
      <c r="F44" s="268"/>
      <c r="G44" s="268"/>
      <c r="H44" s="181" t="s">
        <v>40</v>
      </c>
      <c r="I44" s="183">
        <f t="shared" si="3"/>
        <v>153</v>
      </c>
    </row>
    <row r="45" spans="1:9" x14ac:dyDescent="0.3">
      <c r="A45" s="306" t="s">
        <v>129</v>
      </c>
      <c r="B45" s="307"/>
      <c r="C45" s="268" t="s">
        <v>141</v>
      </c>
      <c r="D45" s="268"/>
      <c r="E45" s="268"/>
      <c r="F45" s="268"/>
      <c r="G45" s="268"/>
      <c r="H45" s="181" t="s">
        <v>40</v>
      </c>
      <c r="I45" s="183">
        <f t="shared" si="3"/>
        <v>153</v>
      </c>
    </row>
    <row r="46" spans="1:9" x14ac:dyDescent="0.3">
      <c r="A46" s="306" t="s">
        <v>179</v>
      </c>
      <c r="B46" s="307"/>
      <c r="C46" s="268" t="s">
        <v>143</v>
      </c>
      <c r="D46" s="268"/>
      <c r="E46" s="268"/>
      <c r="F46" s="268"/>
      <c r="G46" s="268"/>
      <c r="H46" s="181" t="s">
        <v>40</v>
      </c>
      <c r="I46" s="183">
        <f t="shared" si="3"/>
        <v>153</v>
      </c>
    </row>
    <row r="47" spans="1:9" x14ac:dyDescent="0.3">
      <c r="A47" s="306" t="s">
        <v>180</v>
      </c>
      <c r="B47" s="307"/>
      <c r="C47" s="268" t="s">
        <v>145</v>
      </c>
      <c r="D47" s="268"/>
      <c r="E47" s="268"/>
      <c r="F47" s="268"/>
      <c r="G47" s="268"/>
      <c r="H47" s="181" t="s">
        <v>40</v>
      </c>
      <c r="I47" s="183">
        <f t="shared" si="3"/>
        <v>153</v>
      </c>
    </row>
    <row r="48" spans="1:9" x14ac:dyDescent="0.3">
      <c r="A48" s="306" t="s">
        <v>181</v>
      </c>
      <c r="B48" s="307"/>
      <c r="C48" s="268" t="s">
        <v>147</v>
      </c>
      <c r="D48" s="268"/>
      <c r="E48" s="268"/>
      <c r="F48" s="268"/>
      <c r="G48" s="268"/>
      <c r="H48" s="181" t="s">
        <v>40</v>
      </c>
      <c r="I48" s="183">
        <f t="shared" si="3"/>
        <v>0</v>
      </c>
    </row>
    <row r="49" spans="1:9" x14ac:dyDescent="0.3">
      <c r="A49" s="308" t="s">
        <v>134</v>
      </c>
      <c r="B49" s="309"/>
      <c r="C49" s="271" t="s">
        <v>175</v>
      </c>
      <c r="D49" s="271"/>
      <c r="E49" s="271"/>
      <c r="F49" s="271"/>
      <c r="G49" s="271"/>
      <c r="H49" s="181" t="s">
        <v>40</v>
      </c>
      <c r="I49" s="185"/>
    </row>
  </sheetData>
  <mergeCells count="56">
    <mergeCell ref="C10:G10"/>
    <mergeCell ref="C4:G4"/>
    <mergeCell ref="C5:J5"/>
    <mergeCell ref="C6:G6"/>
    <mergeCell ref="C7:G7"/>
    <mergeCell ref="C8:G8"/>
    <mergeCell ref="C9:G9"/>
    <mergeCell ref="A24:E24"/>
    <mergeCell ref="F24:I24"/>
    <mergeCell ref="C11:G11"/>
    <mergeCell ref="A12:I12"/>
    <mergeCell ref="A13:I13"/>
    <mergeCell ref="A14:I14"/>
    <mergeCell ref="C15:G15"/>
    <mergeCell ref="A16:I16"/>
    <mergeCell ref="A17:I17"/>
    <mergeCell ref="A18:I18"/>
    <mergeCell ref="A21:I21"/>
    <mergeCell ref="A22:I22"/>
    <mergeCell ref="A23:I23"/>
    <mergeCell ref="A34:G34"/>
    <mergeCell ref="A29:B29"/>
    <mergeCell ref="C29:E29"/>
    <mergeCell ref="A25:C25"/>
    <mergeCell ref="D25:E25"/>
    <mergeCell ref="F25:G25"/>
    <mergeCell ref="A26:E26"/>
    <mergeCell ref="A27:I27"/>
    <mergeCell ref="A28:B28"/>
    <mergeCell ref="C28:E28"/>
    <mergeCell ref="A30:G30"/>
    <mergeCell ref="A31:G31"/>
    <mergeCell ref="A32:G32"/>
    <mergeCell ref="A33:B33"/>
    <mergeCell ref="C33:E33"/>
    <mergeCell ref="A42:B42"/>
    <mergeCell ref="C42:I42"/>
    <mergeCell ref="A43:B43"/>
    <mergeCell ref="C43:G43"/>
    <mergeCell ref="A35:G35"/>
    <mergeCell ref="A36:G36"/>
    <mergeCell ref="A39:I39"/>
    <mergeCell ref="A40:I40"/>
    <mergeCell ref="A41:I41"/>
    <mergeCell ref="A44:B44"/>
    <mergeCell ref="C44:G44"/>
    <mergeCell ref="A45:B45"/>
    <mergeCell ref="C45:G45"/>
    <mergeCell ref="A46:B46"/>
    <mergeCell ref="C46:G46"/>
    <mergeCell ref="A47:B47"/>
    <mergeCell ref="C47:G47"/>
    <mergeCell ref="A48:B48"/>
    <mergeCell ref="C48:G48"/>
    <mergeCell ref="A49:B49"/>
    <mergeCell ref="C49:G49"/>
  </mergeCells>
  <conditionalFormatting sqref="A21:I36 A39:I49">
    <cfRule type="cellIs" dxfId="9" priority="6" operator="equal">
      <formula>0</formula>
    </cfRule>
  </conditionalFormatting>
  <conditionalFormatting sqref="H31:I31 H35:I35">
    <cfRule type="cellIs" dxfId="8" priority="4" operator="equal">
      <formula>#DIV/0!</formula>
    </cfRule>
    <cfRule type="cellIs" dxfId="7" priority="5" operator="equal">
      <formula>0</formula>
    </cfRule>
  </conditionalFormatting>
  <conditionalFormatting sqref="A1:AD2">
    <cfRule type="cellIs" dxfId="6" priority="1" operator="equal">
      <formula>#DIV/0!</formula>
    </cfRule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B22" workbookViewId="0">
      <selection activeCell="L24" sqref="L24"/>
    </sheetView>
  </sheetViews>
  <sheetFormatPr defaultColWidth="9.109375" defaultRowHeight="18" customHeight="1" x14ac:dyDescent="0.25"/>
  <cols>
    <col min="1" max="1" width="46.44140625" style="2" customWidth="1"/>
    <col min="2" max="2" width="10.5546875" style="2" bestFit="1" customWidth="1"/>
    <col min="3" max="3" width="14.33203125" style="2" customWidth="1"/>
    <col min="4" max="4" width="10.33203125" style="2" customWidth="1"/>
    <col min="5" max="5" width="13.6640625" style="2" customWidth="1"/>
    <col min="6" max="6" width="8.88671875" style="2" customWidth="1"/>
    <col min="7" max="7" width="15.6640625" style="2" customWidth="1"/>
    <col min="8" max="8" width="9.6640625" style="2" customWidth="1"/>
    <col min="9" max="9" width="12.109375" style="2" customWidth="1"/>
    <col min="10" max="10" width="10.5546875" style="2" customWidth="1"/>
    <col min="11" max="11" width="12.88671875" style="2" customWidth="1"/>
    <col min="12" max="12" width="10.33203125" style="2" customWidth="1"/>
    <col min="13" max="13" width="9.77734375" style="2" customWidth="1"/>
    <col min="14" max="14" width="10.77734375" style="2" customWidth="1"/>
    <col min="15" max="15" width="12" style="2" customWidth="1"/>
    <col min="16" max="16" width="12.33203125" style="2" customWidth="1"/>
    <col min="17" max="16384" width="9.109375" style="2"/>
  </cols>
  <sheetData>
    <row r="1" spans="1:17" s="3" customFormat="1" ht="18" customHeight="1" thickBot="1" x14ac:dyDescent="0.4">
      <c r="A1" s="247" t="s">
        <v>59</v>
      </c>
      <c r="B1" s="247"/>
      <c r="C1" s="247"/>
      <c r="D1" s="247"/>
      <c r="E1" s="247"/>
      <c r="F1" s="244"/>
      <c r="G1" s="245"/>
      <c r="H1" s="245"/>
      <c r="I1" s="245"/>
      <c r="J1" s="246"/>
      <c r="K1" s="310" t="s">
        <v>1</v>
      </c>
      <c r="L1" s="312"/>
      <c r="M1" s="312"/>
      <c r="N1" s="312"/>
      <c r="O1" s="312"/>
      <c r="P1" s="311"/>
      <c r="Q1" s="122"/>
    </row>
    <row r="2" spans="1:17" s="3" customFormat="1" ht="21" customHeight="1" thickBot="1" x14ac:dyDescent="0.35">
      <c r="A2" s="4" t="s">
        <v>54</v>
      </c>
      <c r="B2" s="232" t="s">
        <v>78</v>
      </c>
      <c r="C2" s="233"/>
      <c r="D2" s="233"/>
      <c r="E2" s="234"/>
      <c r="F2" s="251"/>
      <c r="G2" s="252"/>
      <c r="H2" s="253"/>
      <c r="I2" s="254"/>
      <c r="J2" s="157" t="s">
        <v>2</v>
      </c>
      <c r="K2" s="156"/>
      <c r="L2" s="156"/>
      <c r="M2" s="156"/>
      <c r="N2" s="156"/>
      <c r="O2" s="156"/>
      <c r="P2" s="156"/>
      <c r="Q2" s="156"/>
    </row>
    <row r="3" spans="1:17" s="3" customFormat="1" ht="21" customHeight="1" thickBot="1" x14ac:dyDescent="0.4">
      <c r="A3" s="96" t="s">
        <v>55</v>
      </c>
      <c r="B3" s="232">
        <v>27</v>
      </c>
      <c r="C3" s="233"/>
      <c r="D3" s="233"/>
      <c r="E3" s="234"/>
      <c r="F3" s="230" t="s">
        <v>62</v>
      </c>
      <c r="G3" s="231"/>
      <c r="H3" s="253">
        <v>413</v>
      </c>
      <c r="I3" s="254"/>
      <c r="J3" s="310" t="s">
        <v>3</v>
      </c>
      <c r="K3" s="311"/>
      <c r="L3" s="311"/>
      <c r="M3" s="311"/>
      <c r="N3" s="311"/>
      <c r="O3" s="311"/>
      <c r="P3" s="311"/>
      <c r="Q3" s="311"/>
    </row>
    <row r="4" spans="1:17" s="3" customFormat="1" ht="19.95" customHeight="1" thickBot="1" x14ac:dyDescent="0.35">
      <c r="A4" s="96" t="s">
        <v>56</v>
      </c>
      <c r="B4" s="232">
        <v>2</v>
      </c>
      <c r="C4" s="233"/>
      <c r="D4" s="233"/>
      <c r="E4" s="234"/>
      <c r="F4" s="230"/>
      <c r="G4" s="231"/>
      <c r="H4" s="253"/>
      <c r="I4" s="254"/>
      <c r="K4" s="5"/>
      <c r="L4" s="5"/>
      <c r="M4" s="5"/>
      <c r="N4" s="5"/>
      <c r="O4" s="5"/>
      <c r="P4" s="6"/>
      <c r="Q4" s="7"/>
    </row>
    <row r="5" spans="1:17" s="3" customFormat="1" ht="17.399999999999999" customHeight="1" thickBot="1" x14ac:dyDescent="0.35">
      <c r="A5" s="96" t="s">
        <v>57</v>
      </c>
      <c r="B5" s="232">
        <v>1.5</v>
      </c>
      <c r="C5" s="233"/>
      <c r="D5" s="233"/>
      <c r="E5" s="234"/>
      <c r="F5" s="230"/>
      <c r="G5" s="231"/>
      <c r="H5" s="253"/>
      <c r="I5" s="254"/>
      <c r="K5" s="5"/>
      <c r="L5" s="5"/>
      <c r="M5" s="5"/>
      <c r="N5" s="5"/>
      <c r="O5" s="5"/>
      <c r="P5" s="6"/>
      <c r="Q5" s="7"/>
    </row>
    <row r="6" spans="1:17" s="3" customFormat="1" ht="18" customHeight="1" thickBot="1" x14ac:dyDescent="0.4">
      <c r="A6" s="1" t="s">
        <v>58</v>
      </c>
      <c r="B6" s="248" t="s">
        <v>87</v>
      </c>
      <c r="C6" s="249"/>
      <c r="D6" s="249"/>
      <c r="E6" s="250"/>
      <c r="F6" s="230" t="s">
        <v>91</v>
      </c>
      <c r="G6" s="231"/>
      <c r="H6" s="304">
        <f>H3/B5</f>
        <v>275</v>
      </c>
      <c r="I6" s="305"/>
      <c r="J6" s="310" t="s">
        <v>6</v>
      </c>
      <c r="K6" s="311"/>
      <c r="L6" s="311"/>
      <c r="M6" s="311"/>
      <c r="N6" s="311"/>
      <c r="O6" s="311"/>
      <c r="P6" s="311"/>
      <c r="Q6" s="155"/>
    </row>
    <row r="7" spans="1:17" s="3" customFormat="1" ht="16.95" customHeight="1" thickBot="1" x14ac:dyDescent="0.3">
      <c r="A7" s="97" t="s">
        <v>7</v>
      </c>
      <c r="B7" s="232" t="s">
        <v>79</v>
      </c>
      <c r="C7" s="233"/>
      <c r="D7" s="233"/>
      <c r="E7" s="234"/>
      <c r="F7" s="230"/>
      <c r="G7" s="231"/>
      <c r="H7" s="302"/>
      <c r="I7" s="303"/>
    </row>
    <row r="8" spans="1:17" s="3" customFormat="1" ht="16.95" customHeight="1" thickBot="1" x14ac:dyDescent="0.3">
      <c r="A8" s="97" t="s">
        <v>68</v>
      </c>
      <c r="B8" s="232" t="s">
        <v>80</v>
      </c>
      <c r="C8" s="233"/>
      <c r="D8" s="233"/>
      <c r="E8" s="234"/>
      <c r="F8" s="265" t="s">
        <v>5</v>
      </c>
      <c r="G8" s="264"/>
      <c r="H8" s="253"/>
      <c r="I8" s="254"/>
    </row>
    <row r="9" spans="1:17" s="3" customFormat="1" ht="16.95" customHeight="1" thickBot="1" x14ac:dyDescent="0.3">
      <c r="A9" s="97" t="s">
        <v>69</v>
      </c>
      <c r="B9" s="232" t="s">
        <v>81</v>
      </c>
      <c r="C9" s="233"/>
      <c r="D9" s="233"/>
      <c r="E9" s="234"/>
      <c r="F9" s="265" t="s">
        <v>194</v>
      </c>
      <c r="G9" s="264"/>
      <c r="H9" s="218">
        <v>0.12</v>
      </c>
      <c r="I9" s="219"/>
    </row>
    <row r="10" spans="1:17" s="3" customFormat="1" ht="16.95" customHeight="1" thickBot="1" x14ac:dyDescent="0.3">
      <c r="A10" s="97" t="s">
        <v>88</v>
      </c>
      <c r="B10" s="232"/>
      <c r="C10" s="233"/>
      <c r="D10" s="233"/>
      <c r="E10" s="234"/>
      <c r="F10" s="265"/>
      <c r="G10" s="264"/>
      <c r="H10" s="253"/>
      <c r="I10" s="254"/>
    </row>
    <row r="11" spans="1:17" s="3" customFormat="1" ht="16.95" customHeight="1" thickBot="1" x14ac:dyDescent="0.3">
      <c r="A11" s="97"/>
      <c r="B11" s="232"/>
      <c r="C11" s="233"/>
      <c r="D11" s="233"/>
      <c r="E11" s="234"/>
      <c r="F11" s="264" t="s">
        <v>67</v>
      </c>
      <c r="G11" s="264"/>
      <c r="H11" s="253">
        <v>1</v>
      </c>
      <c r="I11" s="254"/>
    </row>
    <row r="12" spans="1:17" s="3" customFormat="1" ht="16.95" customHeight="1" thickBot="1" x14ac:dyDescent="0.3">
      <c r="A12" s="97"/>
      <c r="B12" s="232"/>
      <c r="C12" s="233"/>
      <c r="D12" s="233"/>
      <c r="E12" s="234"/>
      <c r="F12" s="264" t="s">
        <v>85</v>
      </c>
      <c r="G12" s="264"/>
      <c r="H12" s="253"/>
      <c r="I12" s="254"/>
    </row>
    <row r="13" spans="1:17" ht="18" customHeight="1" thickBot="1" x14ac:dyDescent="0.3">
      <c r="A13" s="9"/>
      <c r="B13" s="9" t="s">
        <v>8</v>
      </c>
      <c r="C13" s="9"/>
      <c r="D13" s="9"/>
      <c r="E13" s="10"/>
      <c r="F13" s="313" t="s">
        <v>9</v>
      </c>
      <c r="G13" s="314"/>
      <c r="H13" s="314"/>
      <c r="I13" s="132" t="s">
        <v>10</v>
      </c>
      <c r="J13" s="13" t="s">
        <v>11</v>
      </c>
      <c r="K13" s="13" t="s">
        <v>12</v>
      </c>
      <c r="L13" s="196"/>
      <c r="M13" s="196"/>
      <c r="N13" s="196"/>
      <c r="O13" s="196"/>
      <c r="P13" s="13" t="s">
        <v>13</v>
      </c>
    </row>
    <row r="14" spans="1:17" ht="18" customHeight="1" x14ac:dyDescent="0.25">
      <c r="A14" s="14"/>
      <c r="B14" s="14"/>
      <c r="C14" s="18" t="s">
        <v>15</v>
      </c>
      <c r="D14" s="14" t="s">
        <v>16</v>
      </c>
      <c r="E14" s="14" t="s">
        <v>17</v>
      </c>
      <c r="F14" s="321" t="s">
        <v>18</v>
      </c>
      <c r="G14" s="321" t="s">
        <v>101</v>
      </c>
      <c r="H14" s="321" t="s">
        <v>30</v>
      </c>
      <c r="I14" s="133" t="s">
        <v>22</v>
      </c>
      <c r="J14" s="18" t="s">
        <v>23</v>
      </c>
      <c r="K14" s="18" t="s">
        <v>24</v>
      </c>
      <c r="L14" s="14" t="s">
        <v>187</v>
      </c>
      <c r="M14" s="14" t="s">
        <v>190</v>
      </c>
      <c r="N14" s="14" t="s">
        <v>190</v>
      </c>
      <c r="O14" s="14" t="s">
        <v>190</v>
      </c>
      <c r="P14" s="18" t="s">
        <v>25</v>
      </c>
    </row>
    <row r="15" spans="1:17" ht="18" customHeight="1" x14ac:dyDescent="0.25">
      <c r="A15" s="14"/>
      <c r="B15" s="14"/>
      <c r="C15" s="14" t="s">
        <v>27</v>
      </c>
      <c r="D15" s="14" t="s">
        <v>28</v>
      </c>
      <c r="E15" s="14" t="s">
        <v>29</v>
      </c>
      <c r="F15" s="322"/>
      <c r="G15" s="322"/>
      <c r="H15" s="322"/>
      <c r="I15" s="133" t="s">
        <v>92</v>
      </c>
      <c r="J15" s="18" t="s">
        <v>32</v>
      </c>
      <c r="K15" s="18" t="s">
        <v>33</v>
      </c>
      <c r="L15" s="14" t="s">
        <v>188</v>
      </c>
      <c r="M15" s="14" t="s">
        <v>189</v>
      </c>
      <c r="N15" s="14" t="s">
        <v>192</v>
      </c>
      <c r="O15" s="14" t="s">
        <v>193</v>
      </c>
      <c r="P15" s="18" t="s">
        <v>34</v>
      </c>
    </row>
    <row r="16" spans="1:17" ht="18" customHeight="1" thickBot="1" x14ac:dyDescent="0.3">
      <c r="A16" s="19"/>
      <c r="B16" s="19"/>
      <c r="C16" s="19"/>
      <c r="D16" s="19" t="s">
        <v>35</v>
      </c>
      <c r="E16" s="19"/>
      <c r="F16" s="323"/>
      <c r="G16" s="323"/>
      <c r="H16" s="323"/>
      <c r="I16" s="22"/>
      <c r="J16" s="134"/>
      <c r="K16" s="134"/>
      <c r="L16" s="19" t="s">
        <v>189</v>
      </c>
      <c r="M16" s="19" t="s">
        <v>191</v>
      </c>
      <c r="N16" s="19" t="s">
        <v>191</v>
      </c>
      <c r="O16" s="19" t="s">
        <v>191</v>
      </c>
      <c r="P16" s="134"/>
    </row>
    <row r="17" spans="1:16" ht="18" customHeight="1" x14ac:dyDescent="0.25">
      <c r="A17" s="135" t="s">
        <v>36</v>
      </c>
      <c r="B17" s="24"/>
      <c r="C17" s="24"/>
      <c r="D17" s="24"/>
      <c r="E17" s="136"/>
      <c r="F17" s="128">
        <f>H11</f>
        <v>1</v>
      </c>
      <c r="G17" s="128"/>
      <c r="H17" s="26"/>
      <c r="I17" s="74"/>
      <c r="J17" s="40"/>
      <c r="K17" s="40"/>
      <c r="L17" s="40"/>
      <c r="M17" s="40"/>
      <c r="N17" s="40"/>
      <c r="O17" s="40"/>
      <c r="P17" s="40"/>
    </row>
    <row r="18" spans="1:16" ht="18" customHeight="1" thickBot="1" x14ac:dyDescent="0.3">
      <c r="A18" s="265" t="s">
        <v>104</v>
      </c>
      <c r="B18" s="264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327"/>
    </row>
    <row r="19" spans="1:16" ht="15.75" customHeight="1" thickBot="1" x14ac:dyDescent="0.3">
      <c r="A19" s="140" t="s">
        <v>97</v>
      </c>
      <c r="B19" s="141" t="s">
        <v>102</v>
      </c>
      <c r="C19" s="142">
        <v>6</v>
      </c>
      <c r="D19" s="28">
        <v>41.17</v>
      </c>
      <c r="E19" s="31"/>
      <c r="F19" s="36">
        <v>36.9</v>
      </c>
      <c r="G19" s="36">
        <f>F19*F17</f>
        <v>36.9</v>
      </c>
      <c r="H19" s="36">
        <f>(E19/G19)*8</f>
        <v>0</v>
      </c>
      <c r="I19" s="137">
        <f>H19*D19</f>
        <v>0</v>
      </c>
      <c r="J19" s="58">
        <f>I19*0.5</f>
        <v>0</v>
      </c>
      <c r="K19" s="58">
        <f>(I19+J19)*0.22</f>
        <v>0</v>
      </c>
      <c r="L19" s="369"/>
      <c r="M19" s="38">
        <f t="shared" ref="M19" si="0">(G19*L19/1000)/0.73</f>
        <v>0</v>
      </c>
      <c r="N19" s="38">
        <f>M19*0.4</f>
        <v>0</v>
      </c>
      <c r="O19" s="38">
        <f>M19*0.05</f>
        <v>0</v>
      </c>
      <c r="P19" s="58">
        <f t="shared" ref="P19:P37" si="1">I19+J19+K19</f>
        <v>0</v>
      </c>
    </row>
    <row r="20" spans="1:16" ht="15" customHeight="1" thickBot="1" x14ac:dyDescent="0.3">
      <c r="A20" s="39" t="s">
        <v>93</v>
      </c>
      <c r="B20" s="141" t="s">
        <v>102</v>
      </c>
      <c r="C20" s="125"/>
      <c r="D20" s="125"/>
      <c r="E20" s="31"/>
      <c r="F20" s="36">
        <v>36.9</v>
      </c>
      <c r="G20" s="36">
        <f>F20*F17</f>
        <v>36.9</v>
      </c>
      <c r="H20" s="36">
        <f t="shared" ref="H20:H30" si="2">(E20/G20)*8</f>
        <v>0</v>
      </c>
      <c r="I20" s="130">
        <f>H20*D19</f>
        <v>0</v>
      </c>
      <c r="J20" s="58">
        <f t="shared" ref="J20:J37" si="3">I20*0.5</f>
        <v>0</v>
      </c>
      <c r="K20" s="58">
        <f t="shared" ref="K20:K37" si="4">(I20+J20)*0.22</f>
        <v>0</v>
      </c>
      <c r="L20" s="369"/>
      <c r="M20" s="38">
        <f t="shared" ref="M20:M30" si="5">(G20*L20/1000)/0.73</f>
        <v>0</v>
      </c>
      <c r="N20" s="38">
        <f t="shared" ref="N20:N30" si="6">M20*0.4</f>
        <v>0</v>
      </c>
      <c r="O20" s="38">
        <f t="shared" ref="O20:O30" si="7">M20*0.05</f>
        <v>0</v>
      </c>
      <c r="P20" s="58">
        <f t="shared" si="1"/>
        <v>0</v>
      </c>
    </row>
    <row r="21" spans="1:16" ht="13.5" customHeight="1" thickBot="1" x14ac:dyDescent="0.3">
      <c r="A21" s="41" t="s">
        <v>41</v>
      </c>
      <c r="B21" s="141" t="s">
        <v>102</v>
      </c>
      <c r="C21" s="43"/>
      <c r="D21" s="43"/>
      <c r="E21" s="31"/>
      <c r="F21" s="36">
        <v>30.8</v>
      </c>
      <c r="G21" s="36">
        <f>F21*F17</f>
        <v>30.8</v>
      </c>
      <c r="H21" s="36">
        <f t="shared" si="2"/>
        <v>0</v>
      </c>
      <c r="I21" s="138">
        <f>H21*D19</f>
        <v>0</v>
      </c>
      <c r="J21" s="58">
        <f t="shared" si="3"/>
        <v>0</v>
      </c>
      <c r="K21" s="58">
        <f t="shared" si="4"/>
        <v>0</v>
      </c>
      <c r="L21" s="369"/>
      <c r="M21" s="38">
        <f t="shared" si="5"/>
        <v>0</v>
      </c>
      <c r="N21" s="38">
        <f t="shared" si="6"/>
        <v>0</v>
      </c>
      <c r="O21" s="38">
        <f t="shared" si="7"/>
        <v>0</v>
      </c>
      <c r="P21" s="58">
        <f t="shared" si="1"/>
        <v>0</v>
      </c>
    </row>
    <row r="22" spans="1:16" ht="13.5" customHeight="1" thickBot="1" x14ac:dyDescent="0.3">
      <c r="A22" s="140" t="s">
        <v>97</v>
      </c>
      <c r="B22" s="141" t="s">
        <v>102</v>
      </c>
      <c r="C22" s="142">
        <v>6</v>
      </c>
      <c r="D22" s="28">
        <v>41.17</v>
      </c>
      <c r="E22" s="31"/>
      <c r="F22" s="36">
        <v>36.9</v>
      </c>
      <c r="G22" s="36">
        <f>F22*F17</f>
        <v>36.9</v>
      </c>
      <c r="H22" s="36">
        <f t="shared" si="2"/>
        <v>0</v>
      </c>
      <c r="I22" s="137">
        <f>H22*D22</f>
        <v>0</v>
      </c>
      <c r="J22" s="58">
        <f t="shared" si="3"/>
        <v>0</v>
      </c>
      <c r="K22" s="58">
        <f t="shared" si="4"/>
        <v>0</v>
      </c>
      <c r="L22" s="369"/>
      <c r="M22" s="38">
        <f t="shared" si="5"/>
        <v>0</v>
      </c>
      <c r="N22" s="38">
        <f t="shared" si="6"/>
        <v>0</v>
      </c>
      <c r="O22" s="38">
        <f t="shared" si="7"/>
        <v>0</v>
      </c>
      <c r="P22" s="58">
        <f t="shared" si="1"/>
        <v>0</v>
      </c>
    </row>
    <row r="23" spans="1:16" ht="15" customHeight="1" thickBot="1" x14ac:dyDescent="0.3">
      <c r="A23" s="39" t="s">
        <v>94</v>
      </c>
      <c r="B23" s="141" t="s">
        <v>102</v>
      </c>
      <c r="C23" s="57"/>
      <c r="D23" s="125"/>
      <c r="E23" s="31"/>
      <c r="F23" s="36">
        <v>36.9</v>
      </c>
      <c r="G23" s="36">
        <f>F23*F17</f>
        <v>36.9</v>
      </c>
      <c r="H23" s="36">
        <f t="shared" si="2"/>
        <v>0</v>
      </c>
      <c r="I23" s="130">
        <f>H23*D22</f>
        <v>0</v>
      </c>
      <c r="J23" s="58">
        <f t="shared" si="3"/>
        <v>0</v>
      </c>
      <c r="K23" s="58">
        <f t="shared" si="4"/>
        <v>0</v>
      </c>
      <c r="L23" s="369"/>
      <c r="M23" s="38">
        <f t="shared" si="5"/>
        <v>0</v>
      </c>
      <c r="N23" s="38">
        <f t="shared" si="6"/>
        <v>0</v>
      </c>
      <c r="O23" s="38">
        <f t="shared" si="7"/>
        <v>0</v>
      </c>
      <c r="P23" s="58">
        <f t="shared" si="1"/>
        <v>0</v>
      </c>
    </row>
    <row r="24" spans="1:16" ht="14.25" customHeight="1" thickBot="1" x14ac:dyDescent="0.3">
      <c r="A24" s="143" t="s">
        <v>41</v>
      </c>
      <c r="B24" s="141" t="s">
        <v>102</v>
      </c>
      <c r="C24" s="144"/>
      <c r="D24" s="144"/>
      <c r="E24" s="99">
        <v>220</v>
      </c>
      <c r="F24" s="36">
        <v>36.9</v>
      </c>
      <c r="G24" s="145">
        <f>F24*F17</f>
        <v>36.9</v>
      </c>
      <c r="H24" s="36">
        <f t="shared" si="2"/>
        <v>47.7</v>
      </c>
      <c r="I24" s="146">
        <f>H24*D22</f>
        <v>1963.81</v>
      </c>
      <c r="J24" s="58">
        <f t="shared" si="3"/>
        <v>981.91</v>
      </c>
      <c r="K24" s="58">
        <f t="shared" si="4"/>
        <v>648.05999999999995</v>
      </c>
      <c r="L24" s="369"/>
      <c r="M24" s="38">
        <f t="shared" si="5"/>
        <v>0</v>
      </c>
      <c r="N24" s="38">
        <f t="shared" si="6"/>
        <v>0</v>
      </c>
      <c r="O24" s="38">
        <f t="shared" si="7"/>
        <v>0</v>
      </c>
      <c r="P24" s="58">
        <f t="shared" si="1"/>
        <v>3593.78</v>
      </c>
    </row>
    <row r="25" spans="1:16" ht="14.25" customHeight="1" thickBot="1" x14ac:dyDescent="0.3">
      <c r="A25" s="140" t="s">
        <v>98</v>
      </c>
      <c r="B25" s="141" t="s">
        <v>102</v>
      </c>
      <c r="C25" s="142">
        <v>6</v>
      </c>
      <c r="D25" s="28">
        <v>41.17</v>
      </c>
      <c r="E25" s="31"/>
      <c r="F25" s="36">
        <v>36.9</v>
      </c>
      <c r="G25" s="34">
        <f>F25*F17</f>
        <v>36.9</v>
      </c>
      <c r="H25" s="36">
        <f t="shared" si="2"/>
        <v>0</v>
      </c>
      <c r="I25" s="137">
        <f>H25*D25</f>
        <v>0</v>
      </c>
      <c r="J25" s="58">
        <f t="shared" si="3"/>
        <v>0</v>
      </c>
      <c r="K25" s="58">
        <f t="shared" si="4"/>
        <v>0</v>
      </c>
      <c r="L25" s="369"/>
      <c r="M25" s="38">
        <f t="shared" si="5"/>
        <v>0</v>
      </c>
      <c r="N25" s="38">
        <f t="shared" si="6"/>
        <v>0</v>
      </c>
      <c r="O25" s="38">
        <f t="shared" si="7"/>
        <v>0</v>
      </c>
      <c r="P25" s="58">
        <f t="shared" si="1"/>
        <v>0</v>
      </c>
    </row>
    <row r="26" spans="1:16" ht="14.25" customHeight="1" thickBot="1" x14ac:dyDescent="0.3">
      <c r="A26" s="39" t="s">
        <v>95</v>
      </c>
      <c r="B26" s="141" t="s">
        <v>102</v>
      </c>
      <c r="C26" s="125"/>
      <c r="D26" s="125"/>
      <c r="E26" s="69"/>
      <c r="F26" s="36">
        <v>36.9</v>
      </c>
      <c r="G26" s="36">
        <f>F26*F17</f>
        <v>36.9</v>
      </c>
      <c r="H26" s="36">
        <f t="shared" si="2"/>
        <v>0</v>
      </c>
      <c r="I26" s="130">
        <f>H26*D25</f>
        <v>0</v>
      </c>
      <c r="J26" s="58">
        <f t="shared" si="3"/>
        <v>0</v>
      </c>
      <c r="K26" s="58">
        <f t="shared" si="4"/>
        <v>0</v>
      </c>
      <c r="L26" s="369"/>
      <c r="M26" s="38">
        <f t="shared" si="5"/>
        <v>0</v>
      </c>
      <c r="N26" s="38">
        <f t="shared" si="6"/>
        <v>0</v>
      </c>
      <c r="O26" s="38">
        <f t="shared" si="7"/>
        <v>0</v>
      </c>
      <c r="P26" s="58">
        <f t="shared" si="1"/>
        <v>0</v>
      </c>
    </row>
    <row r="27" spans="1:16" ht="15" customHeight="1" thickBot="1" x14ac:dyDescent="0.3">
      <c r="A27" s="41" t="s">
        <v>41</v>
      </c>
      <c r="B27" s="141" t="s">
        <v>102</v>
      </c>
      <c r="C27" s="43"/>
      <c r="D27" s="43"/>
      <c r="E27" s="64"/>
      <c r="F27" s="36">
        <v>36.9</v>
      </c>
      <c r="G27" s="45">
        <f>F27*F17</f>
        <v>36.9</v>
      </c>
      <c r="H27" s="36">
        <f t="shared" si="2"/>
        <v>0</v>
      </c>
      <c r="I27" s="138">
        <f>H27*D25</f>
        <v>0</v>
      </c>
      <c r="J27" s="58">
        <f t="shared" si="3"/>
        <v>0</v>
      </c>
      <c r="K27" s="58">
        <f t="shared" si="4"/>
        <v>0</v>
      </c>
      <c r="L27" s="369"/>
      <c r="M27" s="38">
        <f t="shared" si="5"/>
        <v>0</v>
      </c>
      <c r="N27" s="38">
        <f t="shared" si="6"/>
        <v>0</v>
      </c>
      <c r="O27" s="38">
        <f t="shared" si="7"/>
        <v>0</v>
      </c>
      <c r="P27" s="58">
        <f t="shared" si="1"/>
        <v>0</v>
      </c>
    </row>
    <row r="28" spans="1:16" ht="14.25" customHeight="1" thickBot="1" x14ac:dyDescent="0.3">
      <c r="A28" s="147" t="s">
        <v>98</v>
      </c>
      <c r="B28" s="141" t="s">
        <v>102</v>
      </c>
      <c r="C28" s="142">
        <v>6</v>
      </c>
      <c r="D28" s="28">
        <v>41.17</v>
      </c>
      <c r="E28" s="69"/>
      <c r="F28" s="36">
        <v>36.9</v>
      </c>
      <c r="G28" s="60">
        <f>F28*F17</f>
        <v>36.9</v>
      </c>
      <c r="H28" s="36">
        <f t="shared" si="2"/>
        <v>0</v>
      </c>
      <c r="I28" s="148">
        <f>H28*D28</f>
        <v>0</v>
      </c>
      <c r="J28" s="58">
        <f t="shared" si="3"/>
        <v>0</v>
      </c>
      <c r="K28" s="58">
        <f t="shared" si="4"/>
        <v>0</v>
      </c>
      <c r="L28" s="369"/>
      <c r="M28" s="38">
        <f t="shared" si="5"/>
        <v>0</v>
      </c>
      <c r="N28" s="38">
        <f t="shared" si="6"/>
        <v>0</v>
      </c>
      <c r="O28" s="38">
        <f t="shared" si="7"/>
        <v>0</v>
      </c>
      <c r="P28" s="58">
        <f t="shared" si="1"/>
        <v>0</v>
      </c>
    </row>
    <row r="29" spans="1:16" ht="13.5" customHeight="1" thickBot="1" x14ac:dyDescent="0.3">
      <c r="A29" s="39" t="s">
        <v>96</v>
      </c>
      <c r="B29" s="141" t="s">
        <v>102</v>
      </c>
      <c r="C29" s="125"/>
      <c r="D29" s="125"/>
      <c r="E29" s="69"/>
      <c r="F29" s="36">
        <v>36.9</v>
      </c>
      <c r="G29" s="36">
        <f>F29*F17</f>
        <v>36.9</v>
      </c>
      <c r="H29" s="36">
        <f t="shared" si="2"/>
        <v>0</v>
      </c>
      <c r="I29" s="130">
        <f>H29*D28</f>
        <v>0</v>
      </c>
      <c r="J29" s="58">
        <f t="shared" si="3"/>
        <v>0</v>
      </c>
      <c r="K29" s="58">
        <f t="shared" si="4"/>
        <v>0</v>
      </c>
      <c r="L29" s="369"/>
      <c r="M29" s="38">
        <f t="shared" si="5"/>
        <v>0</v>
      </c>
      <c r="N29" s="38">
        <f t="shared" si="6"/>
        <v>0</v>
      </c>
      <c r="O29" s="38">
        <f t="shared" si="7"/>
        <v>0</v>
      </c>
      <c r="P29" s="58">
        <f t="shared" si="1"/>
        <v>0</v>
      </c>
    </row>
    <row r="30" spans="1:16" ht="13.5" customHeight="1" x14ac:dyDescent="0.25">
      <c r="A30" s="143" t="s">
        <v>41</v>
      </c>
      <c r="B30" s="210" t="s">
        <v>102</v>
      </c>
      <c r="C30" s="144"/>
      <c r="D30" s="144"/>
      <c r="E30" s="24"/>
      <c r="F30" s="145">
        <v>36.9</v>
      </c>
      <c r="G30" s="145">
        <f>F30*F17</f>
        <v>36.9</v>
      </c>
      <c r="H30" s="145">
        <f t="shared" si="2"/>
        <v>0</v>
      </c>
      <c r="I30" s="146">
        <f>H30*D28</f>
        <v>0</v>
      </c>
      <c r="J30" s="211">
        <f t="shared" si="3"/>
        <v>0</v>
      </c>
      <c r="K30" s="211">
        <f t="shared" si="4"/>
        <v>0</v>
      </c>
      <c r="L30" s="370"/>
      <c r="M30" s="38">
        <f t="shared" si="5"/>
        <v>0</v>
      </c>
      <c r="N30" s="38">
        <f t="shared" si="6"/>
        <v>0</v>
      </c>
      <c r="O30" s="38">
        <f t="shared" si="7"/>
        <v>0</v>
      </c>
      <c r="P30" s="211">
        <f t="shared" si="1"/>
        <v>0</v>
      </c>
    </row>
    <row r="31" spans="1:16" ht="13.5" customHeight="1" x14ac:dyDescent="0.25">
      <c r="A31" s="212" t="s">
        <v>46</v>
      </c>
      <c r="B31" s="35"/>
      <c r="C31" s="160"/>
      <c r="D31" s="160"/>
      <c r="E31" s="160"/>
      <c r="F31" s="36"/>
      <c r="G31" s="36"/>
      <c r="H31" s="36"/>
      <c r="I31" s="36">
        <f>SUM(I19:I30)</f>
        <v>1963.81</v>
      </c>
      <c r="J31" s="36">
        <f t="shared" ref="J31:K31" si="8">SUM(J19:J30)</f>
        <v>981.91</v>
      </c>
      <c r="K31" s="36">
        <f t="shared" si="8"/>
        <v>648.05999999999995</v>
      </c>
      <c r="L31" s="36"/>
      <c r="M31" s="36">
        <f t="shared" ref="M31" si="9">SUM(M19:M30)</f>
        <v>0</v>
      </c>
      <c r="N31" s="36">
        <f t="shared" ref="N31" si="10">SUM(N19:N30)</f>
        <v>0</v>
      </c>
      <c r="O31" s="36">
        <f t="shared" ref="O31" si="11">SUM(O19:O30)</f>
        <v>0</v>
      </c>
      <c r="P31" s="36">
        <f t="shared" ref="P31" si="12">SUM(P19:P30)</f>
        <v>3593.78</v>
      </c>
    </row>
    <row r="32" spans="1:16" ht="13.5" customHeight="1" x14ac:dyDescent="0.25">
      <c r="A32" s="70" t="s">
        <v>47</v>
      </c>
      <c r="B32" s="35"/>
      <c r="C32" s="160"/>
      <c r="D32" s="160"/>
      <c r="E32" s="160"/>
      <c r="F32" s="36"/>
      <c r="G32" s="36"/>
      <c r="H32" s="36"/>
      <c r="I32" s="36"/>
      <c r="J32" s="58"/>
      <c r="K32" s="58"/>
      <c r="L32" s="58"/>
      <c r="M32" s="58">
        <v>23.33</v>
      </c>
      <c r="N32" s="38">
        <v>26</v>
      </c>
      <c r="O32" s="38">
        <v>100</v>
      </c>
      <c r="P32" s="58"/>
    </row>
    <row r="33" spans="1:16" ht="13.5" customHeight="1" x14ac:dyDescent="0.25">
      <c r="A33" s="70" t="s">
        <v>48</v>
      </c>
      <c r="B33" s="35"/>
      <c r="C33" s="160"/>
      <c r="D33" s="160"/>
      <c r="E33" s="160"/>
      <c r="F33" s="36"/>
      <c r="G33" s="36"/>
      <c r="H33" s="36"/>
      <c r="I33" s="36"/>
      <c r="J33" s="58"/>
      <c r="K33" s="58"/>
      <c r="L33" s="58"/>
      <c r="M33" s="58">
        <f>M31*M32</f>
        <v>0</v>
      </c>
      <c r="N33" s="58">
        <f t="shared" ref="N33:O33" si="13">N31*N32</f>
        <v>0</v>
      </c>
      <c r="O33" s="58">
        <f t="shared" si="13"/>
        <v>0</v>
      </c>
      <c r="P33" s="58">
        <f>O33+N33+M33</f>
        <v>0</v>
      </c>
    </row>
    <row r="34" spans="1:16" ht="18" customHeight="1" thickBot="1" x14ac:dyDescent="0.3">
      <c r="A34" s="265" t="s">
        <v>106</v>
      </c>
      <c r="B34" s="264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327"/>
    </row>
    <row r="35" spans="1:16" ht="15" customHeight="1" thickBot="1" x14ac:dyDescent="0.3">
      <c r="A35" s="147" t="s">
        <v>98</v>
      </c>
      <c r="B35" s="141" t="s">
        <v>102</v>
      </c>
      <c r="C35" s="142">
        <v>3</v>
      </c>
      <c r="D35" s="28">
        <v>27.45</v>
      </c>
      <c r="E35" s="56">
        <f>(E19+E22+E25+E28)*0.4</f>
        <v>0</v>
      </c>
      <c r="F35" s="45">
        <v>15.5</v>
      </c>
      <c r="G35" s="56">
        <f>F17*F35</f>
        <v>15.5</v>
      </c>
      <c r="H35" s="36">
        <f>(E35/G35)*8</f>
        <v>0</v>
      </c>
      <c r="I35" s="146">
        <f>D35*H35</f>
        <v>0</v>
      </c>
      <c r="J35" s="58">
        <f t="shared" si="3"/>
        <v>0</v>
      </c>
      <c r="K35" s="58">
        <f t="shared" si="4"/>
        <v>0</v>
      </c>
      <c r="L35" s="58"/>
      <c r="M35" s="58"/>
      <c r="N35" s="58"/>
      <c r="O35" s="58"/>
      <c r="P35" s="58">
        <f t="shared" si="1"/>
        <v>0</v>
      </c>
    </row>
    <row r="36" spans="1:16" ht="13.5" customHeight="1" thickBot="1" x14ac:dyDescent="0.3">
      <c r="A36" s="39" t="s">
        <v>82</v>
      </c>
      <c r="B36" s="141" t="s">
        <v>102</v>
      </c>
      <c r="C36" s="60"/>
      <c r="D36" s="60"/>
      <c r="E36" s="56">
        <f>(E20+E23+E26+E29)*0.4</f>
        <v>0</v>
      </c>
      <c r="F36" s="45">
        <v>15.5</v>
      </c>
      <c r="G36" s="60">
        <f>F17*F36</f>
        <v>15.5</v>
      </c>
      <c r="H36" s="36">
        <f t="shared" ref="H36:H37" si="14">(E36/G36)*8</f>
        <v>0</v>
      </c>
      <c r="I36" s="146">
        <f>D35*H36</f>
        <v>0</v>
      </c>
      <c r="J36" s="58">
        <f t="shared" si="3"/>
        <v>0</v>
      </c>
      <c r="K36" s="58">
        <f t="shared" si="4"/>
        <v>0</v>
      </c>
      <c r="L36" s="58"/>
      <c r="M36" s="58"/>
      <c r="N36" s="58"/>
      <c r="O36" s="58"/>
      <c r="P36" s="58">
        <f t="shared" si="1"/>
        <v>0</v>
      </c>
    </row>
    <row r="37" spans="1:16" ht="14.25" customHeight="1" thickBot="1" x14ac:dyDescent="0.3">
      <c r="A37" s="41" t="s">
        <v>41</v>
      </c>
      <c r="B37" s="141" t="s">
        <v>102</v>
      </c>
      <c r="C37" s="45"/>
      <c r="D37" s="45"/>
      <c r="E37" s="56">
        <v>150</v>
      </c>
      <c r="F37" s="45">
        <v>15.5</v>
      </c>
      <c r="G37" s="45">
        <f>F37*F17</f>
        <v>15.5</v>
      </c>
      <c r="H37" s="36">
        <f t="shared" si="14"/>
        <v>77.42</v>
      </c>
      <c r="I37" s="146">
        <f>D35*H37</f>
        <v>2125.1799999999998</v>
      </c>
      <c r="J37" s="58">
        <f t="shared" si="3"/>
        <v>1062.5899999999999</v>
      </c>
      <c r="K37" s="58">
        <f t="shared" si="4"/>
        <v>701.31</v>
      </c>
      <c r="L37" s="58"/>
      <c r="M37" s="58"/>
      <c r="N37" s="58"/>
      <c r="O37" s="58"/>
      <c r="P37" s="58">
        <f t="shared" si="1"/>
        <v>3889.08</v>
      </c>
    </row>
    <row r="38" spans="1:16" ht="14.25" customHeight="1" thickBot="1" x14ac:dyDescent="0.3">
      <c r="A38" s="212" t="s">
        <v>46</v>
      </c>
      <c r="B38" s="210"/>
      <c r="C38" s="205"/>
      <c r="D38" s="205"/>
      <c r="E38" s="25"/>
      <c r="F38" s="205"/>
      <c r="G38" s="205"/>
      <c r="H38" s="26"/>
      <c r="I38" s="197">
        <f>SUM(I35:I37)</f>
        <v>2125.1799999999998</v>
      </c>
      <c r="J38" s="197">
        <f t="shared" ref="J38:K38" si="15">SUM(J35:J37)</f>
        <v>1062.5899999999999</v>
      </c>
      <c r="K38" s="197">
        <f t="shared" si="15"/>
        <v>701.31</v>
      </c>
      <c r="L38" s="197"/>
      <c r="M38" s="197"/>
      <c r="N38" s="197"/>
      <c r="O38" s="197"/>
      <c r="P38" s="197">
        <f t="shared" ref="P38" si="16">SUM(P35:P37)</f>
        <v>3889.08</v>
      </c>
    </row>
    <row r="39" spans="1:16" s="153" customFormat="1" ht="17.399999999999999" customHeight="1" thickBot="1" x14ac:dyDescent="0.35">
      <c r="A39" s="213" t="s">
        <v>46</v>
      </c>
      <c r="B39" s="214"/>
      <c r="C39" s="215"/>
      <c r="D39" s="215"/>
      <c r="E39" s="215">
        <f>E19+E20+E21+E22+E23+E24+E25+E26+E27+E28+E29+E30</f>
        <v>220</v>
      </c>
      <c r="F39" s="215"/>
      <c r="G39" s="215"/>
      <c r="H39" s="215"/>
      <c r="I39" s="151">
        <f>I31+I38</f>
        <v>4088.99</v>
      </c>
      <c r="J39" s="151">
        <f t="shared" ref="J39:K39" si="17">J31+J38</f>
        <v>2044.5</v>
      </c>
      <c r="K39" s="151">
        <f t="shared" si="17"/>
        <v>1349.37</v>
      </c>
      <c r="L39" s="152"/>
      <c r="M39" s="152"/>
      <c r="N39" s="152"/>
      <c r="O39" s="152"/>
      <c r="P39" s="151">
        <f>P31+P38+P33</f>
        <v>7482.86</v>
      </c>
    </row>
    <row r="40" spans="1:16" s="153" customFormat="1" ht="17.399999999999999" customHeight="1" thickBot="1" x14ac:dyDescent="0.35">
      <c r="A40" s="139" t="s">
        <v>103</v>
      </c>
      <c r="B40" s="149"/>
      <c r="C40" s="150"/>
      <c r="D40" s="150"/>
      <c r="E40" s="150">
        <f>E39*H9</f>
        <v>26.4</v>
      </c>
      <c r="F40" s="150"/>
      <c r="G40" s="150"/>
      <c r="H40" s="216"/>
      <c r="I40" s="131"/>
      <c r="J40" s="129"/>
      <c r="K40" s="129"/>
      <c r="L40" s="129"/>
      <c r="M40" s="129"/>
      <c r="N40" s="129"/>
      <c r="O40" s="129"/>
      <c r="P40" s="129"/>
    </row>
    <row r="41" spans="1:16" ht="18" customHeight="1" thickBot="1" x14ac:dyDescent="0.35">
      <c r="A41" s="324" t="s">
        <v>99</v>
      </c>
      <c r="B41" s="325"/>
      <c r="C41" s="325"/>
      <c r="D41" s="325"/>
      <c r="E41" s="325"/>
      <c r="F41" s="325"/>
      <c r="G41" s="325"/>
      <c r="H41" s="326"/>
    </row>
    <row r="42" spans="1:16" ht="18" customHeight="1" x14ac:dyDescent="0.25">
      <c r="A42" s="154" t="s">
        <v>100</v>
      </c>
      <c r="B42" s="226" t="s">
        <v>51</v>
      </c>
      <c r="C42" s="228"/>
      <c r="D42" s="227"/>
      <c r="E42" s="224" t="s">
        <v>84</v>
      </c>
      <c r="F42" s="318"/>
      <c r="G42" s="318"/>
      <c r="H42" s="319"/>
    </row>
    <row r="43" spans="1:16" ht="18" customHeight="1" x14ac:dyDescent="0.3">
      <c r="A43" s="158">
        <f>P39/E40</f>
        <v>283.44200000000001</v>
      </c>
      <c r="B43" s="315">
        <f>I39/E40*1.215</f>
        <v>188.19</v>
      </c>
      <c r="C43" s="316"/>
      <c r="D43" s="317"/>
      <c r="E43" s="315">
        <f>A43-B43</f>
        <v>95.25</v>
      </c>
      <c r="F43" s="316"/>
      <c r="G43" s="316"/>
      <c r="H43" s="320"/>
    </row>
  </sheetData>
  <mergeCells count="48">
    <mergeCell ref="F13:H13"/>
    <mergeCell ref="B42:D42"/>
    <mergeCell ref="B43:D43"/>
    <mergeCell ref="E42:H42"/>
    <mergeCell ref="E43:H43"/>
    <mergeCell ref="G14:G16"/>
    <mergeCell ref="F14:F16"/>
    <mergeCell ref="H14:H16"/>
    <mergeCell ref="A41:H41"/>
    <mergeCell ref="A18:P18"/>
    <mergeCell ref="A34:P34"/>
    <mergeCell ref="A1:E1"/>
    <mergeCell ref="F1:J1"/>
    <mergeCell ref="B2:E2"/>
    <mergeCell ref="F2:G2"/>
    <mergeCell ref="H2:I2"/>
    <mergeCell ref="F6:G6"/>
    <mergeCell ref="H6:I6"/>
    <mergeCell ref="B3:E3"/>
    <mergeCell ref="F3:G3"/>
    <mergeCell ref="H3:I3"/>
    <mergeCell ref="B4:E4"/>
    <mergeCell ref="F4:G4"/>
    <mergeCell ref="H4:I4"/>
    <mergeCell ref="J3:Q3"/>
    <mergeCell ref="J6:P6"/>
    <mergeCell ref="K1:P1"/>
    <mergeCell ref="B11:E11"/>
    <mergeCell ref="F11:G11"/>
    <mergeCell ref="H11:I11"/>
    <mergeCell ref="B7:E7"/>
    <mergeCell ref="F7:G7"/>
    <mergeCell ref="H7:I7"/>
    <mergeCell ref="B8:E8"/>
    <mergeCell ref="F8:G8"/>
    <mergeCell ref="H8:I8"/>
    <mergeCell ref="B5:E5"/>
    <mergeCell ref="F5:G5"/>
    <mergeCell ref="H5:I5"/>
    <mergeCell ref="B6:E6"/>
    <mergeCell ref="B12:E12"/>
    <mergeCell ref="F12:G12"/>
    <mergeCell ref="H12:I12"/>
    <mergeCell ref="B9:E9"/>
    <mergeCell ref="F9:G9"/>
    <mergeCell ref="B10:E10"/>
    <mergeCell ref="F10:G10"/>
    <mergeCell ref="H10:I10"/>
  </mergeCells>
  <dataValidations count="4">
    <dataValidation type="list" allowBlank="1" showInputMessage="1" showErrorMessage="1" sqref="A2">
      <formula1>ЛісВа</formula1>
    </dataValidation>
    <dataValidation type="list" allowBlank="1" showInputMessage="1" showErrorMessage="1" sqref="B7:B12">
      <formula1>табУмовиРоботи</formula1>
    </dataValidation>
    <dataValidation type="list" allowBlank="1" showInputMessage="1" showErrorMessage="1" sqref="F5:F7">
      <formula1>Зона</formula1>
    </dataValidation>
    <dataValidation type="list" allowBlank="1" showInputMessage="1" showErrorMessage="1" sqref="B6">
      <formula1>ВідШаблона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N6" sqref="N6"/>
    </sheetView>
  </sheetViews>
  <sheetFormatPr defaultRowHeight="14.4" x14ac:dyDescent="0.3"/>
  <cols>
    <col min="2" max="2" width="8.88671875" customWidth="1"/>
    <col min="4" max="6" width="8.88671875" customWidth="1"/>
    <col min="7" max="7" width="9.44140625" customWidth="1"/>
    <col min="8" max="8" width="11.88671875" customWidth="1"/>
    <col min="9" max="9" width="11" customWidth="1"/>
    <col min="10" max="10" width="14.109375" customWidth="1"/>
    <col min="11" max="11" width="13.44140625" customWidth="1"/>
    <col min="13" max="13" width="17" customWidth="1"/>
    <col min="14" max="14" width="10.44140625" bestFit="1" customWidth="1"/>
  </cols>
  <sheetData>
    <row r="1" spans="1:30" x14ac:dyDescent="0.3">
      <c r="A1" s="186" t="s">
        <v>168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</row>
    <row r="2" spans="1:30" x14ac:dyDescent="0.3">
      <c r="A2" s="186" t="s">
        <v>169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</row>
    <row r="4" spans="1:30" ht="25.2" customHeight="1" x14ac:dyDescent="0.3">
      <c r="A4" s="161" t="s">
        <v>118</v>
      </c>
      <c r="B4" s="161"/>
      <c r="C4" s="294" t="s">
        <v>119</v>
      </c>
      <c r="D4" s="294"/>
      <c r="E4" s="294"/>
      <c r="F4" s="294"/>
      <c r="G4" s="294"/>
      <c r="H4" s="161" t="s">
        <v>120</v>
      </c>
      <c r="I4" s="161" t="s">
        <v>121</v>
      </c>
      <c r="J4" s="161" t="s">
        <v>122</v>
      </c>
      <c r="K4" s="161" t="s">
        <v>123</v>
      </c>
      <c r="M4" s="168" t="s">
        <v>157</v>
      </c>
      <c r="N4" s="168" t="s">
        <v>158</v>
      </c>
    </row>
    <row r="5" spans="1:30" x14ac:dyDescent="0.3">
      <c r="A5" s="169" t="s">
        <v>124</v>
      </c>
      <c r="B5" s="169"/>
      <c r="C5" s="295" t="s">
        <v>135</v>
      </c>
      <c r="D5" s="295"/>
      <c r="E5" s="295"/>
      <c r="F5" s="295"/>
      <c r="G5" s="295"/>
      <c r="H5" s="296"/>
      <c r="I5" s="296"/>
      <c r="J5" s="296"/>
      <c r="K5" s="169"/>
      <c r="M5" s="173"/>
      <c r="N5" s="173"/>
    </row>
    <row r="6" spans="1:30" ht="40.200000000000003" customHeight="1" x14ac:dyDescent="0.3">
      <c r="A6" s="189" t="s">
        <v>177</v>
      </c>
      <c r="B6" s="170"/>
      <c r="C6" s="296" t="s">
        <v>183</v>
      </c>
      <c r="D6" s="296"/>
      <c r="E6" s="296"/>
      <c r="F6" s="296"/>
      <c r="G6" s="296"/>
      <c r="H6" s="170" t="s">
        <v>40</v>
      </c>
      <c r="I6" s="169">
        <f>'Молодняки механізовані'!E40</f>
        <v>26.4</v>
      </c>
      <c r="J6" s="171">
        <f t="shared" ref="J6:J7" si="0">M6</f>
        <v>90.38</v>
      </c>
      <c r="K6" s="169">
        <f t="shared" ref="K6:K7" si="1">I6*J6</f>
        <v>2386.0300000000002</v>
      </c>
      <c r="M6" s="173">
        <f>N6/I6</f>
        <v>90.38</v>
      </c>
      <c r="N6" s="173">
        <f>('Молодняки механізовані'!I31)*1.215</f>
        <v>2386.0300000000002</v>
      </c>
    </row>
    <row r="7" spans="1:30" ht="30" customHeight="1" x14ac:dyDescent="0.3">
      <c r="A7" s="189" t="s">
        <v>178</v>
      </c>
      <c r="B7" s="170"/>
      <c r="C7" s="296" t="s">
        <v>184</v>
      </c>
      <c r="D7" s="296"/>
      <c r="E7" s="296"/>
      <c r="F7" s="296"/>
      <c r="G7" s="296"/>
      <c r="H7" s="170" t="s">
        <v>40</v>
      </c>
      <c r="I7" s="169">
        <f>('Молодняки механізовані'!E35+'Молодняки механізовані'!E36+'Молодняки механізовані'!E37)*'Молодняки механізовані'!H9</f>
        <v>18</v>
      </c>
      <c r="J7" s="171">
        <f t="shared" si="0"/>
        <v>143.44999999999999</v>
      </c>
      <c r="K7" s="169">
        <f t="shared" si="1"/>
        <v>2582.1</v>
      </c>
      <c r="M7" s="173">
        <f t="shared" ref="M7" si="2">N7/I7</f>
        <v>143.44999999999999</v>
      </c>
      <c r="N7" s="173">
        <f>('Молодняки механізовані'!I38)*1.215</f>
        <v>2582.09</v>
      </c>
    </row>
    <row r="8" spans="1:30" x14ac:dyDescent="0.3">
      <c r="A8" s="297" t="s">
        <v>185</v>
      </c>
      <c r="B8" s="297"/>
      <c r="C8" s="298"/>
      <c r="D8" s="298"/>
      <c r="E8" s="298"/>
      <c r="F8" s="298"/>
      <c r="G8" s="298"/>
      <c r="H8" s="298"/>
      <c r="I8" s="298"/>
      <c r="J8" s="172">
        <f>K8/I6</f>
        <v>188.19</v>
      </c>
      <c r="K8" s="172">
        <f>K6+K7</f>
        <v>4968.13</v>
      </c>
      <c r="N8" s="173">
        <f>N6+N7</f>
        <v>4968.12</v>
      </c>
    </row>
    <row r="9" spans="1:30" x14ac:dyDescent="0.3">
      <c r="A9" s="297" t="s">
        <v>149</v>
      </c>
      <c r="B9" s="297"/>
      <c r="C9" s="298"/>
      <c r="D9" s="298"/>
      <c r="E9" s="298"/>
      <c r="F9" s="298"/>
      <c r="G9" s="298"/>
      <c r="H9" s="298"/>
      <c r="I9" s="298"/>
      <c r="J9" s="172"/>
      <c r="K9" s="172">
        <v>0</v>
      </c>
      <c r="N9">
        <f>'Молодняки механізовані'!I39*1.214</f>
        <v>4964.0338599999995</v>
      </c>
    </row>
    <row r="10" spans="1:30" x14ac:dyDescent="0.3">
      <c r="A10" s="297" t="s">
        <v>172</v>
      </c>
      <c r="B10" s="297"/>
      <c r="C10" s="298"/>
      <c r="D10" s="298"/>
      <c r="E10" s="298"/>
      <c r="F10" s="298"/>
      <c r="G10" s="298"/>
      <c r="H10" s="298"/>
      <c r="I10" s="298"/>
      <c r="J10" s="172"/>
      <c r="K10" s="172">
        <f>K8+K9</f>
        <v>4968.13</v>
      </c>
    </row>
    <row r="13" spans="1:30" ht="15.6" x14ac:dyDescent="0.3">
      <c r="A13" s="273" t="s">
        <v>160</v>
      </c>
      <c r="B13" s="273"/>
      <c r="C13" s="273"/>
      <c r="D13" s="273"/>
      <c r="E13" s="273"/>
      <c r="F13" s="273"/>
      <c r="G13" s="273"/>
      <c r="H13" s="273"/>
      <c r="I13" s="273"/>
    </row>
    <row r="14" spans="1:30" x14ac:dyDescent="0.3">
      <c r="A14" s="274" t="s">
        <v>161</v>
      </c>
      <c r="B14" s="274"/>
      <c r="C14" s="274"/>
      <c r="D14" s="274"/>
      <c r="E14" s="274"/>
      <c r="F14" s="274"/>
      <c r="G14" s="274"/>
      <c r="H14" s="274"/>
      <c r="I14" s="274"/>
    </row>
    <row r="15" spans="1:30" x14ac:dyDescent="0.3">
      <c r="A15" s="277"/>
      <c r="B15" s="277"/>
      <c r="C15" s="277"/>
      <c r="D15" s="277"/>
      <c r="E15" s="277"/>
      <c r="F15" s="277"/>
      <c r="G15" s="277"/>
      <c r="H15" s="277"/>
      <c r="I15" s="277"/>
    </row>
    <row r="16" spans="1:30" x14ac:dyDescent="0.3">
      <c r="A16" s="277" t="s">
        <v>54</v>
      </c>
      <c r="B16" s="276"/>
      <c r="C16" s="276"/>
      <c r="D16" s="276"/>
      <c r="E16" s="276"/>
      <c r="F16" s="278"/>
      <c r="G16" s="278"/>
      <c r="H16" s="278"/>
      <c r="I16" s="278"/>
    </row>
    <row r="17" spans="1:9" x14ac:dyDescent="0.3">
      <c r="A17" s="277" t="s">
        <v>162</v>
      </c>
      <c r="B17" s="277"/>
      <c r="C17" s="277"/>
      <c r="D17" s="278">
        <f>+[5]кошторис!D26</f>
        <v>0</v>
      </c>
      <c r="E17" s="278"/>
      <c r="F17" s="279"/>
      <c r="G17" s="279"/>
      <c r="H17" s="176"/>
      <c r="I17" s="175"/>
    </row>
    <row r="18" spans="1:9" x14ac:dyDescent="0.3">
      <c r="A18" s="277" t="s">
        <v>163</v>
      </c>
      <c r="B18" s="277"/>
      <c r="C18" s="277"/>
      <c r="D18" s="277"/>
      <c r="E18" s="277"/>
      <c r="F18" s="176"/>
      <c r="G18" s="175"/>
      <c r="H18" s="175"/>
      <c r="I18" s="174"/>
    </row>
    <row r="19" spans="1:9" x14ac:dyDescent="0.3">
      <c r="A19" s="277"/>
      <c r="B19" s="277"/>
      <c r="C19" s="277"/>
      <c r="D19" s="277"/>
      <c r="E19" s="277"/>
      <c r="F19" s="277"/>
      <c r="G19" s="277"/>
      <c r="H19" s="277"/>
      <c r="I19" s="277"/>
    </row>
    <row r="20" spans="1:9" ht="39.6" x14ac:dyDescent="0.3">
      <c r="A20" s="280" t="s">
        <v>118</v>
      </c>
      <c r="B20" s="280"/>
      <c r="C20" s="280" t="s">
        <v>164</v>
      </c>
      <c r="D20" s="280"/>
      <c r="E20" s="280"/>
      <c r="F20" s="177" t="s">
        <v>120</v>
      </c>
      <c r="G20" s="177" t="s">
        <v>121</v>
      </c>
      <c r="H20" s="177" t="s">
        <v>122</v>
      </c>
      <c r="I20" s="177" t="s">
        <v>123</v>
      </c>
    </row>
    <row r="21" spans="1:9" x14ac:dyDescent="0.3">
      <c r="A21" s="284" t="s">
        <v>124</v>
      </c>
      <c r="B21" s="285"/>
      <c r="C21" s="286" t="s">
        <v>135</v>
      </c>
      <c r="D21" s="286"/>
      <c r="E21" s="286"/>
      <c r="F21" s="180" t="s">
        <v>40</v>
      </c>
      <c r="G21" s="188">
        <f>I6</f>
        <v>26.4</v>
      </c>
      <c r="H21" s="187">
        <f>I21/G21</f>
        <v>188.19</v>
      </c>
      <c r="I21" s="178">
        <f>K10</f>
        <v>4968.13</v>
      </c>
    </row>
    <row r="22" spans="1:9" x14ac:dyDescent="0.3">
      <c r="A22" s="282" t="s">
        <v>171</v>
      </c>
      <c r="B22" s="283"/>
      <c r="C22" s="283"/>
      <c r="D22" s="283"/>
      <c r="E22" s="283"/>
      <c r="F22" s="283"/>
      <c r="G22" s="283"/>
      <c r="H22" s="179"/>
      <c r="I22" s="179"/>
    </row>
    <row r="23" spans="1:9" x14ac:dyDescent="0.3">
      <c r="A23" s="282" t="s">
        <v>149</v>
      </c>
      <c r="B23" s="283"/>
      <c r="C23" s="283"/>
      <c r="D23" s="283"/>
      <c r="E23" s="283"/>
      <c r="F23" s="283"/>
      <c r="G23" s="283"/>
      <c r="H23" s="179"/>
      <c r="I23" s="179"/>
    </row>
    <row r="24" spans="1:9" x14ac:dyDescent="0.3">
      <c r="A24" s="282" t="s">
        <v>172</v>
      </c>
      <c r="B24" s="283"/>
      <c r="C24" s="283"/>
      <c r="D24" s="283"/>
      <c r="E24" s="283"/>
      <c r="F24" s="283"/>
      <c r="G24" s="283"/>
      <c r="H24" s="179">
        <f>+H23+H22</f>
        <v>0</v>
      </c>
      <c r="I24" s="179">
        <f>+I23+I22</f>
        <v>0</v>
      </c>
    </row>
    <row r="27" spans="1:9" ht="15.6" x14ac:dyDescent="0.3">
      <c r="A27" s="273" t="s">
        <v>165</v>
      </c>
      <c r="B27" s="273"/>
      <c r="C27" s="273"/>
      <c r="D27" s="273"/>
      <c r="E27" s="273"/>
      <c r="F27" s="273"/>
      <c r="G27" s="273"/>
      <c r="H27" s="273"/>
      <c r="I27" s="273"/>
    </row>
    <row r="28" spans="1:9" x14ac:dyDescent="0.3">
      <c r="A28" s="274"/>
      <c r="B28" s="274"/>
      <c r="C28" s="274"/>
      <c r="D28" s="274"/>
      <c r="E28" s="274"/>
      <c r="F28" s="274"/>
      <c r="G28" s="274"/>
      <c r="H28" s="274"/>
      <c r="I28" s="274"/>
    </row>
    <row r="29" spans="1:9" x14ac:dyDescent="0.3">
      <c r="A29" s="275" t="s">
        <v>166</v>
      </c>
      <c r="B29" s="276"/>
      <c r="C29" s="276"/>
      <c r="D29" s="276"/>
      <c r="E29" s="276"/>
      <c r="F29" s="276"/>
      <c r="G29" s="276"/>
      <c r="H29" s="276"/>
      <c r="I29" s="276"/>
    </row>
    <row r="30" spans="1:9" x14ac:dyDescent="0.3">
      <c r="A30" s="269" t="s">
        <v>124</v>
      </c>
      <c r="B30" s="270"/>
      <c r="C30" s="271" t="s">
        <v>135</v>
      </c>
      <c r="D30" s="271"/>
      <c r="E30" s="271"/>
      <c r="F30" s="271"/>
      <c r="G30" s="271"/>
      <c r="H30" s="272"/>
      <c r="I30" s="272"/>
    </row>
    <row r="31" spans="1:9" ht="42" customHeight="1" x14ac:dyDescent="0.3">
      <c r="A31" s="306" t="s">
        <v>177</v>
      </c>
      <c r="B31" s="307"/>
      <c r="C31" s="328" t="str">
        <f>C6</f>
        <v>Спилювання дерев товщиною в окопенку 4 см з переходом для заправки кущоріза, технічне обслуговуваня механізму</v>
      </c>
      <c r="D31" s="329"/>
      <c r="E31" s="329"/>
      <c r="F31" s="329"/>
      <c r="G31" s="329"/>
      <c r="H31" s="181" t="s">
        <v>40</v>
      </c>
      <c r="I31" s="183">
        <f>I6</f>
        <v>26.4</v>
      </c>
    </row>
    <row r="32" spans="1:9" ht="37.200000000000003" customHeight="1" x14ac:dyDescent="0.3">
      <c r="A32" s="306" t="s">
        <v>178</v>
      </c>
      <c r="B32" s="307"/>
      <c r="C32" s="328" t="str">
        <f>C7</f>
        <v>Очищення місць рубок після освітлення та прочистки механізованим способом</v>
      </c>
      <c r="D32" s="329"/>
      <c r="E32" s="329"/>
      <c r="F32" s="329"/>
      <c r="G32" s="329"/>
      <c r="H32" s="181" t="s">
        <v>40</v>
      </c>
      <c r="I32" s="217">
        <f>I7</f>
        <v>18</v>
      </c>
    </row>
  </sheetData>
  <mergeCells count="33">
    <mergeCell ref="C4:G4"/>
    <mergeCell ref="C5:J5"/>
    <mergeCell ref="C6:G6"/>
    <mergeCell ref="C7:G7"/>
    <mergeCell ref="A18:E18"/>
    <mergeCell ref="A13:I13"/>
    <mergeCell ref="A14:I14"/>
    <mergeCell ref="A15:I15"/>
    <mergeCell ref="A8:I8"/>
    <mergeCell ref="A9:I9"/>
    <mergeCell ref="A10:I10"/>
    <mergeCell ref="A16:E16"/>
    <mergeCell ref="F16:I16"/>
    <mergeCell ref="A17:C17"/>
    <mergeCell ref="D17:E17"/>
    <mergeCell ref="F17:G17"/>
    <mergeCell ref="A23:G23"/>
    <mergeCell ref="A24:G24"/>
    <mergeCell ref="A19:I19"/>
    <mergeCell ref="A20:B20"/>
    <mergeCell ref="C20:E20"/>
    <mergeCell ref="A21:B21"/>
    <mergeCell ref="C21:E21"/>
    <mergeCell ref="A22:G22"/>
    <mergeCell ref="A31:B31"/>
    <mergeCell ref="C31:G31"/>
    <mergeCell ref="A32:B32"/>
    <mergeCell ref="C32:G32"/>
    <mergeCell ref="A27:I27"/>
    <mergeCell ref="A28:I28"/>
    <mergeCell ref="A29:I29"/>
    <mergeCell ref="A30:B30"/>
    <mergeCell ref="C30:I30"/>
  </mergeCells>
  <conditionalFormatting sqref="A13:I24 A27:I32">
    <cfRule type="cellIs" dxfId="4" priority="5" operator="equal">
      <formula>0</formula>
    </cfRule>
  </conditionalFormatting>
  <conditionalFormatting sqref="H23:I23">
    <cfRule type="cellIs" dxfId="3" priority="3" operator="equal">
      <formula>#DIV/0!</formula>
    </cfRule>
    <cfRule type="cellIs" dxfId="2" priority="4" operator="equal">
      <formula>0</formula>
    </cfRule>
  </conditionalFormatting>
  <conditionalFormatting sqref="A1:AD2">
    <cfRule type="cellIs" dxfId="1" priority="1" operator="equal">
      <formula>#DIV/0!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РГК</vt:lpstr>
      <vt:lpstr>РГК_кошторис</vt:lpstr>
      <vt:lpstr>РД</vt:lpstr>
      <vt:lpstr>РД_кошторис</vt:lpstr>
      <vt:lpstr>Молодняки механізовані</vt:lpstr>
      <vt:lpstr>Молодняки механізовані-кошторис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2018-12-07T06:35:06Z</dcterms:modified>
</cp:coreProperties>
</file>